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0" yWindow="100" windowWidth="20060" windowHeight="8460" firstSheet="2" activeTab="2"/>
  </bookViews>
  <sheets>
    <sheet name="Enoncé 1 Coût Personnel et Maté" sheetId="1" r:id="rId1"/>
    <sheet name="Enoncé 2 Résultat Chantier" sheetId="4" r:id="rId2"/>
    <sheet name="Enoncé 3 corrige SP" sheetId="5" r:id="rId3"/>
    <sheet name="Corrigé 1 cout personnel matér " sheetId="2" r:id="rId4"/>
    <sheet name="Corrigé 2 résultat" sheetId="3" r:id="rId5"/>
    <sheet name="Enoncé 3 sp" sheetId="6" r:id="rId6"/>
    <sheet name="Feuil1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6" l="1"/>
  <c r="H31" i="5"/>
  <c r="O31" i="5"/>
  <c r="C31" i="5"/>
  <c r="J31" i="5"/>
  <c r="K31" i="5"/>
  <c r="H30" i="5"/>
  <c r="O30" i="5"/>
  <c r="C30" i="5"/>
  <c r="J30" i="5"/>
  <c r="K30" i="5"/>
  <c r="H29" i="5"/>
  <c r="O29" i="5"/>
  <c r="C29" i="5"/>
  <c r="J29" i="5"/>
  <c r="K29" i="5"/>
  <c r="H28" i="5"/>
  <c r="O28" i="5"/>
  <c r="C28" i="5"/>
  <c r="J28" i="5"/>
  <c r="K28" i="5"/>
  <c r="H27" i="5"/>
  <c r="O27" i="5"/>
  <c r="C27" i="5"/>
  <c r="J27" i="5"/>
  <c r="K27" i="5"/>
  <c r="O30" i="3"/>
  <c r="O42" i="3"/>
  <c r="G23" i="5"/>
  <c r="B8" i="2"/>
  <c r="B10" i="2"/>
  <c r="B11" i="2"/>
  <c r="B14" i="2"/>
  <c r="B15" i="2"/>
  <c r="B17" i="2"/>
  <c r="B9" i="2"/>
  <c r="B18" i="2"/>
  <c r="B19" i="2"/>
  <c r="B20" i="2"/>
  <c r="D31" i="3"/>
  <c r="F31" i="3"/>
  <c r="B26" i="2"/>
  <c r="B28" i="2"/>
  <c r="B29" i="2"/>
  <c r="B32" i="2"/>
  <c r="B33" i="2"/>
  <c r="B35" i="2"/>
  <c r="B27" i="2"/>
  <c r="B36" i="2"/>
  <c r="B37" i="2"/>
  <c r="B38" i="2"/>
  <c r="D32" i="3"/>
  <c r="F32" i="3"/>
  <c r="F34" i="3"/>
  <c r="B55" i="2"/>
  <c r="B56" i="2"/>
  <c r="B57" i="2"/>
  <c r="B58" i="2"/>
  <c r="D37" i="3"/>
  <c r="F37" i="3"/>
  <c r="B73" i="2"/>
  <c r="B74" i="2"/>
  <c r="B75" i="2"/>
  <c r="B76" i="2"/>
  <c r="D38" i="3"/>
  <c r="F38" i="3"/>
  <c r="F40" i="3"/>
  <c r="F42" i="3"/>
  <c r="G24" i="5"/>
  <c r="G25" i="5"/>
  <c r="G26" i="5"/>
  <c r="B25" i="5"/>
  <c r="B26" i="5"/>
  <c r="C24" i="5"/>
  <c r="J24" i="5"/>
  <c r="K24" i="5"/>
  <c r="B42" i="3"/>
  <c r="F24" i="5"/>
  <c r="H24" i="5"/>
  <c r="D24" i="5"/>
  <c r="C23" i="5"/>
  <c r="J23" i="5"/>
  <c r="K23" i="5"/>
  <c r="L42" i="3"/>
  <c r="F23" i="5"/>
  <c r="F25" i="5"/>
  <c r="D23" i="5"/>
  <c r="L42" i="4"/>
  <c r="B42" i="4"/>
  <c r="B44" i="4"/>
  <c r="B45" i="4"/>
  <c r="H41" i="4"/>
  <c r="H40" i="4"/>
  <c r="H38" i="4"/>
  <c r="H37" i="4"/>
  <c r="H34" i="4"/>
  <c r="H32" i="4"/>
  <c r="O42" i="4"/>
  <c r="Q28" i="4"/>
  <c r="H28" i="4"/>
  <c r="H28" i="3"/>
  <c r="B83" i="1"/>
  <c r="B26" i="1"/>
  <c r="B28" i="1"/>
  <c r="B27" i="1"/>
  <c r="P28" i="6"/>
  <c r="P29" i="6"/>
  <c r="P30" i="6"/>
  <c r="P31" i="6"/>
  <c r="P27" i="6"/>
  <c r="P24" i="6"/>
  <c r="P25" i="6"/>
  <c r="P34" i="6"/>
  <c r="P23" i="6"/>
  <c r="P35" i="6"/>
  <c r="F23" i="6"/>
  <c r="G23" i="6"/>
  <c r="H23" i="6"/>
  <c r="O23" i="6"/>
  <c r="Q23" i="6"/>
  <c r="T23" i="6"/>
  <c r="O29" i="6"/>
  <c r="O31" i="6"/>
  <c r="M31" i="6"/>
  <c r="M23" i="6"/>
  <c r="K28" i="6"/>
  <c r="K29" i="6"/>
  <c r="K30" i="6"/>
  <c r="K31" i="6"/>
  <c r="K27" i="6"/>
  <c r="K23" i="6"/>
  <c r="M28" i="6"/>
  <c r="M29" i="6"/>
  <c r="O30" i="6"/>
  <c r="Q30" i="6"/>
  <c r="T30" i="6"/>
  <c r="M27" i="6"/>
  <c r="F24" i="6"/>
  <c r="B25" i="6"/>
  <c r="Q31" i="6"/>
  <c r="T31" i="6"/>
  <c r="M30" i="6"/>
  <c r="O27" i="6"/>
  <c r="Q27" i="6"/>
  <c r="T27" i="6"/>
  <c r="O28" i="6"/>
  <c r="Q28" i="6"/>
  <c r="T28" i="6"/>
  <c r="Q29" i="6"/>
  <c r="T29" i="6"/>
  <c r="P26" i="6"/>
  <c r="O24" i="5"/>
  <c r="P24" i="5"/>
  <c r="Q24" i="5"/>
  <c r="S24" i="5"/>
  <c r="T24" i="5"/>
  <c r="L24" i="5"/>
  <c r="M24" i="5"/>
  <c r="F34" i="5"/>
  <c r="F35" i="5"/>
  <c r="H25" i="5"/>
  <c r="F26" i="5"/>
  <c r="P28" i="5"/>
  <c r="Q28" i="5"/>
  <c r="S28" i="5"/>
  <c r="T28" i="5"/>
  <c r="P23" i="5"/>
  <c r="C25" i="5"/>
  <c r="D27" i="5"/>
  <c r="L27" i="5"/>
  <c r="M27" i="5"/>
  <c r="D28" i="5"/>
  <c r="L28" i="5"/>
  <c r="M28" i="5"/>
  <c r="D29" i="5"/>
  <c r="L29" i="5"/>
  <c r="M29" i="5"/>
  <c r="D30" i="5"/>
  <c r="L30" i="5"/>
  <c r="M30" i="5"/>
  <c r="D31" i="5"/>
  <c r="L31" i="5"/>
  <c r="M31" i="5"/>
  <c r="P27" i="5"/>
  <c r="Q27" i="5"/>
  <c r="S27" i="5"/>
  <c r="T27" i="5"/>
  <c r="P29" i="5"/>
  <c r="Q29" i="5"/>
  <c r="S29" i="5"/>
  <c r="T29" i="5"/>
  <c r="P30" i="5"/>
  <c r="Q30" i="5"/>
  <c r="S30" i="5"/>
  <c r="T30" i="5"/>
  <c r="P31" i="5"/>
  <c r="Q31" i="5"/>
  <c r="S31" i="5"/>
  <c r="T31" i="5"/>
  <c r="B34" i="5"/>
  <c r="B35" i="5"/>
  <c r="G34" i="5"/>
  <c r="G35" i="5"/>
  <c r="H23" i="5"/>
  <c r="F42" i="4"/>
  <c r="H42" i="4"/>
  <c r="H31" i="4"/>
  <c r="Q42" i="4"/>
  <c r="Q30" i="4"/>
  <c r="C34" i="6"/>
  <c r="D34" i="6"/>
  <c r="D35" i="6"/>
  <c r="B34" i="6"/>
  <c r="B35" i="6"/>
  <c r="C35" i="6"/>
  <c r="F25" i="6"/>
  <c r="F34" i="6"/>
  <c r="B26" i="6"/>
  <c r="H34" i="3"/>
  <c r="H40" i="3"/>
  <c r="H41" i="3"/>
  <c r="H38" i="3"/>
  <c r="H37" i="3"/>
  <c r="H32" i="3"/>
  <c r="Q30" i="3"/>
  <c r="Q28" i="3"/>
  <c r="Q42" i="3"/>
  <c r="B44" i="3"/>
  <c r="B45" i="3"/>
  <c r="B65" i="1"/>
  <c r="B64" i="2"/>
  <c r="B46" i="2"/>
  <c r="B45" i="1"/>
  <c r="B44" i="1"/>
  <c r="B46" i="1"/>
  <c r="H26" i="5"/>
  <c r="D25" i="5"/>
  <c r="L25" i="5"/>
  <c r="H34" i="5"/>
  <c r="H35" i="5"/>
  <c r="O25" i="5"/>
  <c r="P25" i="5"/>
  <c r="C26" i="5"/>
  <c r="C34" i="5"/>
  <c r="C35" i="5"/>
  <c r="L23" i="5"/>
  <c r="M23" i="5"/>
  <c r="O23" i="5"/>
  <c r="Q23" i="5"/>
  <c r="S23" i="5"/>
  <c r="T23" i="5"/>
  <c r="J25" i="5"/>
  <c r="H50" i="4"/>
  <c r="H51" i="4"/>
  <c r="F47" i="4"/>
  <c r="F48" i="4"/>
  <c r="F35" i="6"/>
  <c r="F26" i="6"/>
  <c r="B50" i="1"/>
  <c r="L34" i="5"/>
  <c r="M25" i="5"/>
  <c r="L26" i="5"/>
  <c r="P34" i="5"/>
  <c r="P35" i="5"/>
  <c r="P26" i="5"/>
  <c r="K25" i="5"/>
  <c r="J26" i="5"/>
  <c r="J34" i="5"/>
  <c r="D26" i="5"/>
  <c r="D34" i="5"/>
  <c r="D35" i="5"/>
  <c r="O26" i="5"/>
  <c r="Q25" i="5"/>
  <c r="O34" i="5"/>
  <c r="O35" i="5"/>
  <c r="H42" i="3"/>
  <c r="H50" i="3"/>
  <c r="H51" i="3"/>
  <c r="G24" i="6"/>
  <c r="H31" i="3"/>
  <c r="F47" i="3"/>
  <c r="F48" i="3"/>
  <c r="K34" i="5"/>
  <c r="J35" i="5"/>
  <c r="M34" i="5"/>
  <c r="L35" i="5"/>
  <c r="Q34" i="5"/>
  <c r="Q35" i="5"/>
  <c r="Q26" i="5"/>
  <c r="S25" i="5"/>
  <c r="K24" i="6"/>
  <c r="H24" i="6"/>
  <c r="G25" i="6"/>
  <c r="S34" i="5"/>
  <c r="S26" i="5"/>
  <c r="T25" i="5"/>
  <c r="T26" i="5"/>
  <c r="O24" i="6"/>
  <c r="Q24" i="6"/>
  <c r="T24" i="6"/>
  <c r="M24" i="6"/>
  <c r="G34" i="6"/>
  <c r="G35" i="6"/>
  <c r="G26" i="6"/>
  <c r="H25" i="6"/>
  <c r="S35" i="5"/>
  <c r="T34" i="5"/>
  <c r="O25" i="6"/>
  <c r="H34" i="6"/>
  <c r="H35" i="6"/>
  <c r="H26" i="6"/>
  <c r="K25" i="6"/>
  <c r="J34" i="6"/>
  <c r="Q25" i="6"/>
  <c r="O26" i="6"/>
  <c r="O34" i="6"/>
  <c r="O35" i="6"/>
  <c r="M25" i="6"/>
  <c r="L34" i="6"/>
  <c r="K34" i="6"/>
  <c r="J35" i="6"/>
  <c r="M34" i="6"/>
  <c r="L35" i="6"/>
  <c r="Q34" i="6"/>
  <c r="Q35" i="6"/>
  <c r="Q26" i="6"/>
  <c r="T25" i="6"/>
  <c r="T26" i="6"/>
  <c r="S34" i="6"/>
  <c r="T34" i="6"/>
  <c r="S35" i="6"/>
</calcChain>
</file>

<file path=xl/sharedStrings.xml><?xml version="1.0" encoding="utf-8"?>
<sst xmlns="http://schemas.openxmlformats.org/spreadsheetml/2006/main" count="345" uniqueCount="133">
  <si>
    <t>ELABORATION D'UNE SITUATION PERIODIQUE D'EXPLOITATION</t>
  </si>
  <si>
    <t>Ouvrier - Compagnon - Niveau 2 - Position 1</t>
  </si>
  <si>
    <t>Les données correspondant au Coût total constat pour 2019</t>
  </si>
  <si>
    <t xml:space="preserve">Primes Chargées </t>
  </si>
  <si>
    <t>Primes non Chargées</t>
  </si>
  <si>
    <t>Effectif :</t>
  </si>
  <si>
    <t>Heures Travaillées</t>
  </si>
  <si>
    <t>Heures Payées</t>
  </si>
  <si>
    <t>Taux de Charge 20 %</t>
  </si>
  <si>
    <t>Masse Salariale Hors Charges</t>
  </si>
  <si>
    <t>13 ème mois (1/12 de la Masse salariale + Charges)</t>
  </si>
  <si>
    <t>Coût Horaire Heure Travaillée</t>
  </si>
  <si>
    <t>TOTAL Coût PersonneL</t>
  </si>
  <si>
    <t>Participation et Interressement (10 % de la masse salariale non chargée)</t>
  </si>
  <si>
    <t>La société ASTRO TP, spécialisée dans la réalisation et l'aménagement d'espaces verts et de réseau  d'assainissement</t>
  </si>
  <si>
    <t>a) Ouvrier - Compagnon - Niveau 2 - Position 1</t>
  </si>
  <si>
    <t>b) Chef de Chantier</t>
  </si>
  <si>
    <r>
      <t>2)</t>
    </r>
    <r>
      <rPr>
        <b/>
        <u/>
        <sz val="14"/>
        <color theme="1"/>
        <rFont val="Calibri"/>
        <family val="2"/>
        <scheme val="minor"/>
      </rPr>
      <t xml:space="preserve"> Détermination du Coût interne du Matériel</t>
    </r>
  </si>
  <si>
    <t>a) Pelles et Tracto-Pelles</t>
  </si>
  <si>
    <t>Nombre :</t>
  </si>
  <si>
    <t>Coût Entretien Annuel</t>
  </si>
  <si>
    <t>Assurance</t>
  </si>
  <si>
    <t>Passage aux Mines</t>
  </si>
  <si>
    <t>Pannes - Réparation</t>
  </si>
  <si>
    <t>TOTAL Coût Pelle - Tracto Pelle</t>
  </si>
  <si>
    <t>Heures annuelles</t>
  </si>
  <si>
    <t>Heures annuelles Utilisation</t>
  </si>
  <si>
    <t>Coût Horaire Heure Utilisation</t>
  </si>
  <si>
    <t>Frais Carburants</t>
  </si>
  <si>
    <t>b) Fourgon</t>
  </si>
  <si>
    <t>TOTAL Fourgon</t>
  </si>
  <si>
    <r>
      <t>3)</t>
    </r>
    <r>
      <rPr>
        <b/>
        <u/>
        <sz val="14"/>
        <color theme="1"/>
        <rFont val="Calibri"/>
        <family val="2"/>
        <scheme val="minor"/>
      </rPr>
      <t xml:space="preserve"> Résultat Activités Chantier</t>
    </r>
  </si>
  <si>
    <t>Dépenses</t>
  </si>
  <si>
    <t>Achats</t>
  </si>
  <si>
    <t>Location Interne</t>
  </si>
  <si>
    <t>Location Externe</t>
  </si>
  <si>
    <t>Sous Traitance</t>
  </si>
  <si>
    <t>Cumul Fin juin</t>
  </si>
  <si>
    <t>Coût Unitaire</t>
  </si>
  <si>
    <t>Qté</t>
  </si>
  <si>
    <t xml:space="preserve"> Mois Juillet</t>
  </si>
  <si>
    <t>Total Cumulé Fin Juillet</t>
  </si>
  <si>
    <t>Prix Unitaire</t>
  </si>
  <si>
    <t>Chiffre d'Affaires</t>
  </si>
  <si>
    <t>Facture à Etablir</t>
  </si>
  <si>
    <t>Total</t>
  </si>
  <si>
    <t>Marge</t>
  </si>
  <si>
    <t>Vous devez compléter le tableau ci-après avec les données de Juillet</t>
  </si>
  <si>
    <t>€</t>
  </si>
  <si>
    <t>Résultat à Fin Juin</t>
  </si>
  <si>
    <t>Résultat de Juillet</t>
  </si>
  <si>
    <t>Résultat à Fin Juillet</t>
  </si>
  <si>
    <t>Mois de Juillet</t>
  </si>
  <si>
    <t>Personnel Interne</t>
  </si>
  <si>
    <t>Personnel Externe</t>
  </si>
  <si>
    <t>FAE</t>
  </si>
  <si>
    <t>100 ml de Canalisation à 500 €/ml</t>
  </si>
  <si>
    <t>Facturation</t>
  </si>
  <si>
    <t>Compagnon</t>
  </si>
  <si>
    <t>Chef de Chantier</t>
  </si>
  <si>
    <t>Pelle</t>
  </si>
  <si>
    <t>Fourgon</t>
  </si>
  <si>
    <t>50 jours compagnon et 20 jours Chef de chantier</t>
  </si>
  <si>
    <t>50 jours compagnon facturé par ADECCO au tauxjournalier y compris coefficient à 180 €</t>
  </si>
  <si>
    <t>20 jours de Pelle et 20 jours de fourgon</t>
  </si>
  <si>
    <t>Location Pelle à Loxam facturé  pour les 20 jours à 70 €/jour</t>
  </si>
  <si>
    <t>Chantier ZAC de Monteurgueil - Aniane</t>
  </si>
  <si>
    <t>Travaux d'engazonement sous traités à la société Décap'Vert pour 10 000 €</t>
  </si>
  <si>
    <r>
      <t xml:space="preserve">4) </t>
    </r>
    <r>
      <rPr>
        <b/>
        <u/>
        <sz val="20"/>
        <color theme="1"/>
        <rFont val="Calibri"/>
        <family val="2"/>
        <scheme val="minor"/>
      </rPr>
      <t>Etablissement de la Situation Mensuelle d'Exploitation</t>
    </r>
  </si>
  <si>
    <r>
      <t>3)</t>
    </r>
    <r>
      <rPr>
        <b/>
        <u/>
        <sz val="20"/>
        <color theme="1"/>
        <rFont val="Calibri"/>
        <family val="2"/>
        <scheme val="minor"/>
      </rPr>
      <t xml:space="preserve"> Résultat Activités Chantier</t>
    </r>
  </si>
  <si>
    <r>
      <t>1)</t>
    </r>
    <r>
      <rPr>
        <b/>
        <u/>
        <sz val="20"/>
        <color theme="1"/>
        <rFont val="Calibri"/>
        <family val="2"/>
        <scheme val="minor"/>
      </rPr>
      <t xml:space="preserve"> Détermination du Coût interne du Personnel et du Matériel</t>
    </r>
  </si>
  <si>
    <r>
      <t>1)</t>
    </r>
    <r>
      <rPr>
        <b/>
        <u/>
        <sz val="20"/>
        <color theme="1"/>
        <rFont val="Calibri"/>
        <family val="2"/>
        <scheme val="minor"/>
      </rPr>
      <t xml:space="preserve"> Détermination du Coût interne du Personnel </t>
    </r>
  </si>
  <si>
    <r>
      <t>2)</t>
    </r>
    <r>
      <rPr>
        <b/>
        <u/>
        <sz val="20"/>
        <color theme="1"/>
        <rFont val="Calibri"/>
        <family val="2"/>
        <scheme val="minor"/>
      </rPr>
      <t xml:space="preserve"> Détermination du Coût interne du Matériel</t>
    </r>
  </si>
  <si>
    <t>Chiffre d'Affaires, Dépense et Marge (voir tableau précédent - Résultat Chantier°</t>
  </si>
  <si>
    <t>Frais Généraux de L'Etablissement</t>
  </si>
  <si>
    <t>Frais Généraux de Siège</t>
  </si>
  <si>
    <t>Reversement Branche Personnel</t>
  </si>
  <si>
    <t>Frais Bancaires</t>
  </si>
  <si>
    <t>A partir des données suivantes et du résultat chantier vous compléterez la situation mensuelle d'exploitation</t>
  </si>
  <si>
    <t>Chiffre D'affaires</t>
  </si>
  <si>
    <t>Budget</t>
  </si>
  <si>
    <t>Annnuel</t>
  </si>
  <si>
    <t>Mois</t>
  </si>
  <si>
    <t>A Fin Juillet</t>
  </si>
  <si>
    <t>Réalisé</t>
  </si>
  <si>
    <t>A Fin Juin</t>
  </si>
  <si>
    <t>Juillet</t>
  </si>
  <si>
    <t>Réalisé à Fin Juillet</t>
  </si>
  <si>
    <t>Budget Rectifié</t>
  </si>
  <si>
    <t>Total Budget</t>
  </si>
  <si>
    <t>Ecart/Budget Initial</t>
  </si>
  <si>
    <t>Montant</t>
  </si>
  <si>
    <t>(1)</t>
  </si>
  <si>
    <t>(2) = (1) /12</t>
  </si>
  <si>
    <t>(3) =  2  x 7</t>
  </si>
  <si>
    <t>(4)</t>
  </si>
  <si>
    <t>(5)</t>
  </si>
  <si>
    <t>(6) = (4) +  (5)</t>
  </si>
  <si>
    <t>(9) = (6)</t>
  </si>
  <si>
    <t>5 Mois de Budget</t>
  </si>
  <si>
    <t>(10) = (2) x 5</t>
  </si>
  <si>
    <t>(11) = (9) + (10)</t>
  </si>
  <si>
    <t>(12) = (11) - (1)</t>
  </si>
  <si>
    <t>Résultat</t>
  </si>
  <si>
    <t>%</t>
  </si>
  <si>
    <t>Résultat de L'Etablissement</t>
  </si>
  <si>
    <t>Marge Nette</t>
  </si>
  <si>
    <t>Marge Chantier %</t>
  </si>
  <si>
    <t>Reversement Matériel</t>
  </si>
  <si>
    <t>Données Comptable de Juillet :</t>
  </si>
  <si>
    <t>Ecart Réalisé - Budget</t>
  </si>
  <si>
    <t>(7) = (5) - (2)</t>
  </si>
  <si>
    <t>(8) = (6) - (3)</t>
  </si>
  <si>
    <t>Elle détermine dans un premier temps son coût interne d'utilisation de son personnel et de son matériel.</t>
  </si>
  <si>
    <t xml:space="preserve">établit mensuellement une situation d'exploitation (compte de résultat) en intégrant les résultats réalisés par ses chantier </t>
  </si>
  <si>
    <t xml:space="preserve">ainsi que l'ensemble d'autres frais propres à son établissement tels que les frais généraux. </t>
  </si>
  <si>
    <t>Elle a établit par ailleurs un budget intégré dans cette situation et effectue chaque mois un comparatif par rapport à son budget.</t>
  </si>
  <si>
    <t>Coût Journalier total (coût Horaire x 7h)</t>
  </si>
  <si>
    <r>
      <rPr>
        <b/>
        <u/>
        <sz val="14"/>
        <color theme="1"/>
        <rFont val="Calibri"/>
        <family val="2"/>
        <scheme val="minor"/>
      </rPr>
      <t>Coût Horaire</t>
    </r>
    <r>
      <rPr>
        <b/>
        <sz val="14"/>
        <color theme="1"/>
        <rFont val="Calibri"/>
        <family val="2"/>
        <scheme val="minor"/>
      </rPr>
      <t xml:space="preserve"> avec Application d'une Marge (branche Personnel) de 20 % sur coût Horaire travaillée</t>
    </r>
  </si>
  <si>
    <r>
      <rPr>
        <b/>
        <u/>
        <sz val="14"/>
        <color theme="1"/>
        <rFont val="Calibri"/>
        <family val="2"/>
        <scheme val="minor"/>
      </rPr>
      <t>Coût Horaire</t>
    </r>
    <r>
      <rPr>
        <b/>
        <sz val="14"/>
        <color theme="1"/>
        <rFont val="Calibri"/>
        <family val="2"/>
        <scheme val="minor"/>
      </rPr>
      <t xml:space="preserve"> avec Application d'une Marge (branche Matériel) de 20 % sur coût Horaire Utilisation</t>
    </r>
  </si>
  <si>
    <t>Coût Journalier d'utilisation (coût Horaire x 7h)</t>
  </si>
  <si>
    <t>Dépréciation - Amortissements</t>
  </si>
  <si>
    <t>et modifierez le budget annuel</t>
  </si>
  <si>
    <t>Reversement Branche Personnel (de l'année N-1)</t>
  </si>
  <si>
    <t>Reversement Matériel (de l'année N-1)</t>
  </si>
  <si>
    <t>Les données qui suivent sont arrêtées  à fin juin de l'année N, le mois de juillet doit être intégré de façon à élaborer</t>
  </si>
  <si>
    <t>un nouveau budget pour l'année N.</t>
  </si>
  <si>
    <t>Ces éléments de coûts sont intégrés au niveau des chantiers avec application d'une marge (Branche Personnel et MatérIiel</t>
  </si>
  <si>
    <t>Cette marge sera réintégré en boni dans la situation consolidée pour 80 %, les 20 % restant seront  reversés au siège de la société ASTRO TP.</t>
  </si>
  <si>
    <t>Vous êtes chargés d'effectuer les calculs suivants, préalables à la réalisation de la situation d'exploitation et à l'élaboration du nouveau budget.</t>
  </si>
  <si>
    <t>Les données correspondent au Coût total constaté pour l'année N-1</t>
  </si>
  <si>
    <t>A partir des données suivantes et du résultat chantier vous compléterez la situation mensuelle d'exploitation pour juillet</t>
  </si>
  <si>
    <t>Chiffre d'Affaires, Dépense et Marge (voir tableau précédent - Résultat Chantier)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</si>
</sst>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3" fillId="0" borderId="4" xfId="0" applyNumberFormat="1" applyFont="1" applyBorder="1"/>
    <xf numFmtId="4" fontId="0" fillId="0" borderId="0" xfId="0" applyNumberFormat="1"/>
    <xf numFmtId="4" fontId="3" fillId="0" borderId="0" xfId="0" applyNumberFormat="1" applyFont="1" applyBorder="1"/>
    <xf numFmtId="4" fontId="3" fillId="2" borderId="4" xfId="0" applyNumberFormat="1" applyFont="1" applyFill="1" applyBorder="1"/>
    <xf numFmtId="4" fontId="3" fillId="2" borderId="0" xfId="0" applyNumberFormat="1" applyFont="1" applyFill="1" applyBorder="1"/>
    <xf numFmtId="4" fontId="3" fillId="0" borderId="0" xfId="0" applyNumberFormat="1" applyFont="1"/>
    <xf numFmtId="4" fontId="3" fillId="0" borderId="0" xfId="0" applyNumberFormat="1" applyFont="1" applyFill="1" applyBorder="1"/>
    <xf numFmtId="4" fontId="0" fillId="0" borderId="0" xfId="0" applyNumberFormat="1" applyFill="1"/>
    <xf numFmtId="4" fontId="6" fillId="3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/>
    <xf numFmtId="4" fontId="6" fillId="3" borderId="5" xfId="0" applyNumberFormat="1" applyFont="1" applyFill="1" applyBorder="1" applyAlignment="1">
      <alignment horizontal="center" vertical="center" wrapText="1"/>
    </xf>
    <xf numFmtId="4" fontId="0" fillId="4" borderId="13" xfId="0" applyNumberFormat="1" applyFill="1" applyBorder="1"/>
    <xf numFmtId="4" fontId="0" fillId="4" borderId="14" xfId="0" applyNumberFormat="1" applyFill="1" applyBorder="1"/>
    <xf numFmtId="4" fontId="0" fillId="0" borderId="4" xfId="0" applyNumberFormat="1" applyBorder="1"/>
    <xf numFmtId="4" fontId="0" fillId="4" borderId="15" xfId="0" applyNumberFormat="1" applyFill="1" applyBorder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4" fontId="2" fillId="4" borderId="16" xfId="0" applyNumberFormat="1" applyFont="1" applyFill="1" applyBorder="1"/>
    <xf numFmtId="4" fontId="0" fillId="4" borderId="16" xfId="0" applyNumberFormat="1" applyFill="1" applyBorder="1"/>
    <xf numFmtId="4" fontId="0" fillId="0" borderId="0" xfId="0" applyNumberFormat="1" applyFill="1" applyBorder="1"/>
    <xf numFmtId="4" fontId="3" fillId="2" borderId="5" xfId="0" applyNumberFormat="1" applyFont="1" applyFill="1" applyBorder="1"/>
    <xf numFmtId="9" fontId="3" fillId="2" borderId="5" xfId="1" applyFont="1" applyFill="1" applyBorder="1"/>
    <xf numFmtId="0" fontId="7" fillId="0" borderId="0" xfId="0" applyFont="1"/>
    <xf numFmtId="0" fontId="9" fillId="0" borderId="0" xfId="0" applyFont="1"/>
    <xf numFmtId="4" fontId="9" fillId="0" borderId="0" xfId="0" applyNumberFormat="1" applyFont="1"/>
    <xf numFmtId="4" fontId="7" fillId="0" borderId="0" xfId="0" applyNumberFormat="1" applyFont="1"/>
    <xf numFmtId="4" fontId="3" fillId="4" borderId="12" xfId="0" applyNumberFormat="1" applyFont="1" applyFill="1" applyBorder="1" applyAlignment="1">
      <alignment horizontal="center"/>
    </xf>
    <xf numFmtId="4" fontId="2" fillId="4" borderId="12" xfId="0" applyNumberFormat="1" applyFont="1" applyFill="1" applyBorder="1"/>
    <xf numFmtId="4" fontId="12" fillId="2" borderId="25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/>
    </xf>
    <xf numFmtId="4" fontId="12" fillId="2" borderId="12" xfId="0" applyNumberFormat="1" applyFont="1" applyFill="1" applyBorder="1"/>
    <xf numFmtId="4" fontId="11" fillId="4" borderId="13" xfId="0" applyNumberFormat="1" applyFont="1" applyFill="1" applyBorder="1"/>
    <xf numFmtId="4" fontId="12" fillId="2" borderId="12" xfId="0" applyNumberFormat="1" applyFont="1" applyFill="1" applyBorder="1" applyAlignment="1">
      <alignment horizontal="center"/>
    </xf>
    <xf numFmtId="4" fontId="12" fillId="2" borderId="24" xfId="0" applyNumberFormat="1" applyFont="1" applyFill="1" applyBorder="1" applyAlignment="1">
      <alignment horizontal="center"/>
    </xf>
    <xf numFmtId="4" fontId="12" fillId="2" borderId="35" xfId="0" applyNumberFormat="1" applyFont="1" applyFill="1" applyBorder="1"/>
    <xf numFmtId="4" fontId="12" fillId="2" borderId="37" xfId="0" applyNumberFormat="1" applyFont="1" applyFill="1" applyBorder="1" applyAlignment="1">
      <alignment horizontal="center"/>
    </xf>
    <xf numFmtId="4" fontId="12" fillId="0" borderId="0" xfId="0" applyNumberFormat="1" applyFont="1"/>
    <xf numFmtId="4" fontId="12" fillId="0" borderId="5" xfId="0" quotePrefix="1" applyNumberFormat="1" applyFont="1" applyBorder="1" applyAlignment="1">
      <alignment horizontal="center"/>
    </xf>
    <xf numFmtId="4" fontId="12" fillId="0" borderId="31" xfId="0" quotePrefix="1" applyNumberFormat="1" applyFont="1" applyBorder="1" applyAlignment="1">
      <alignment horizontal="center"/>
    </xf>
    <xf numFmtId="4" fontId="12" fillId="0" borderId="30" xfId="0" quotePrefix="1" applyNumberFormat="1" applyFont="1" applyBorder="1" applyAlignment="1">
      <alignment horizontal="center"/>
    </xf>
    <xf numFmtId="4" fontId="12" fillId="0" borderId="21" xfId="0" quotePrefix="1" applyNumberFormat="1" applyFont="1" applyBorder="1" applyAlignment="1">
      <alignment horizontal="center"/>
    </xf>
    <xf numFmtId="4" fontId="12" fillId="0" borderId="3" xfId="0" quotePrefix="1" applyNumberFormat="1" applyFont="1" applyBorder="1" applyAlignment="1">
      <alignment horizontal="center"/>
    </xf>
    <xf numFmtId="4" fontId="11" fillId="0" borderId="0" xfId="0" applyNumberFormat="1" applyFont="1"/>
    <xf numFmtId="4" fontId="12" fillId="2" borderId="38" xfId="0" applyNumberFormat="1" applyFont="1" applyFill="1" applyBorder="1"/>
    <xf numFmtId="4" fontId="0" fillId="0" borderId="32" xfId="0" applyNumberFormat="1" applyBorder="1"/>
    <xf numFmtId="4" fontId="0" fillId="0" borderId="20" xfId="0" applyNumberFormat="1" applyBorder="1"/>
    <xf numFmtId="4" fontId="0" fillId="0" borderId="29" xfId="0" applyNumberFormat="1" applyBorder="1"/>
    <xf numFmtId="4" fontId="0" fillId="0" borderId="33" xfId="0" applyNumberFormat="1" applyBorder="1"/>
    <xf numFmtId="4" fontId="0" fillId="0" borderId="36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12" fillId="2" borderId="14" xfId="0" applyNumberFormat="1" applyFont="1" applyFill="1" applyBorder="1"/>
    <xf numFmtId="4" fontId="0" fillId="0" borderId="28" xfId="0" applyNumberFormat="1" applyBorder="1"/>
    <xf numFmtId="4" fontId="0" fillId="0" borderId="11" xfId="0" applyNumberFormat="1" applyBorder="1"/>
    <xf numFmtId="4" fontId="0" fillId="0" borderId="9" xfId="0" applyNumberFormat="1" applyBorder="1"/>
    <xf numFmtId="4" fontId="12" fillId="2" borderId="13" xfId="0" applyNumberFormat="1" applyFont="1" applyFill="1" applyBorder="1"/>
    <xf numFmtId="4" fontId="3" fillId="2" borderId="14" xfId="0" applyNumberFormat="1" applyFont="1" applyFill="1" applyBorder="1"/>
    <xf numFmtId="4" fontId="12" fillId="2" borderId="0" xfId="0" applyNumberFormat="1" applyFont="1" applyFill="1" applyBorder="1" applyAlignment="1">
      <alignment horizontal="center"/>
    </xf>
    <xf numFmtId="4" fontId="0" fillId="0" borderId="17" xfId="0" applyNumberFormat="1" applyBorder="1"/>
    <xf numFmtId="4" fontId="3" fillId="5" borderId="40" xfId="0" applyNumberFormat="1" applyFont="1" applyFill="1" applyBorder="1" applyAlignment="1">
      <alignment horizontal="center"/>
    </xf>
    <xf numFmtId="4" fontId="11" fillId="4" borderId="41" xfId="0" applyNumberFormat="1" applyFont="1" applyFill="1" applyBorder="1"/>
    <xf numFmtId="4" fontId="0" fillId="4" borderId="41" xfId="0" applyNumberFormat="1" applyFill="1" applyBorder="1"/>
    <xf numFmtId="4" fontId="2" fillId="4" borderId="23" xfId="0" applyNumberFormat="1" applyFont="1" applyFill="1" applyBorder="1"/>
    <xf numFmtId="4" fontId="12" fillId="2" borderId="35" xfId="0" applyNumberFormat="1" applyFont="1" applyFill="1" applyBorder="1" applyAlignment="1">
      <alignment horizontal="center"/>
    </xf>
    <xf numFmtId="4" fontId="0" fillId="4" borderId="35" xfId="0" applyNumberFormat="1" applyFill="1" applyBorder="1"/>
    <xf numFmtId="4" fontId="12" fillId="0" borderId="23" xfId="0" quotePrefix="1" applyNumberFormat="1" applyFont="1" applyBorder="1" applyAlignment="1">
      <alignment horizontal="center"/>
    </xf>
    <xf numFmtId="4" fontId="11" fillId="0" borderId="20" xfId="0" applyNumberFormat="1" applyFont="1" applyBorder="1"/>
    <xf numFmtId="4" fontId="11" fillId="2" borderId="5" xfId="0" applyNumberFormat="1" applyFont="1" applyFill="1" applyBorder="1" applyAlignment="1">
      <alignment horizontal="center"/>
    </xf>
    <xf numFmtId="4" fontId="6" fillId="0" borderId="32" xfId="0" applyNumberFormat="1" applyFont="1" applyBorder="1"/>
    <xf numFmtId="4" fontId="6" fillId="0" borderId="20" xfId="0" applyNumberFormat="1" applyFont="1" applyBorder="1"/>
    <xf numFmtId="4" fontId="6" fillId="0" borderId="34" xfId="0" applyNumberFormat="1" applyFont="1" applyBorder="1"/>
    <xf numFmtId="9" fontId="6" fillId="0" borderId="32" xfId="1" applyFont="1" applyBorder="1"/>
    <xf numFmtId="4" fontId="3" fillId="2" borderId="16" xfId="0" applyNumberFormat="1" applyFont="1" applyFill="1" applyBorder="1"/>
    <xf numFmtId="4" fontId="6" fillId="0" borderId="42" xfId="0" applyNumberFormat="1" applyFont="1" applyBorder="1"/>
    <xf numFmtId="9" fontId="0" fillId="0" borderId="4" xfId="1" applyFont="1" applyBorder="1"/>
    <xf numFmtId="9" fontId="6" fillId="0" borderId="4" xfId="1" applyFont="1" applyBorder="1"/>
    <xf numFmtId="9" fontId="0" fillId="0" borderId="39" xfId="1" applyFont="1" applyBorder="1"/>
    <xf numFmtId="4" fontId="3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/>
    <xf numFmtId="4" fontId="8" fillId="2" borderId="4" xfId="0" applyNumberFormat="1" applyFont="1" applyFill="1" applyBorder="1"/>
    <xf numFmtId="4" fontId="3" fillId="2" borderId="9" xfId="0" applyNumberFormat="1" applyFont="1" applyFill="1" applyBorder="1"/>
    <xf numFmtId="4" fontId="0" fillId="2" borderId="0" xfId="0" applyNumberFormat="1" applyFill="1"/>
    <xf numFmtId="4" fontId="2" fillId="2" borderId="4" xfId="0" applyNumberFormat="1" applyFont="1" applyFill="1" applyBorder="1"/>
    <xf numFmtId="4" fontId="6" fillId="2" borderId="5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4" fontId="3" fillId="3" borderId="9" xfId="0" applyNumberFormat="1" applyFont="1" applyFill="1" applyBorder="1"/>
    <xf numFmtId="4" fontId="3" fillId="3" borderId="21" xfId="0" applyNumberFormat="1" applyFont="1" applyFill="1" applyBorder="1"/>
    <xf numFmtId="4" fontId="3" fillId="3" borderId="4" xfId="0" applyNumberFormat="1" applyFont="1" applyFill="1" applyBorder="1"/>
    <xf numFmtId="4" fontId="2" fillId="3" borderId="4" xfId="0" applyNumberFormat="1" applyFont="1" applyFill="1" applyBorder="1"/>
    <xf numFmtId="4" fontId="0" fillId="3" borderId="4" xfId="0" applyNumberFormat="1" applyFill="1" applyBorder="1"/>
    <xf numFmtId="4" fontId="3" fillId="3" borderId="17" xfId="0" applyNumberFormat="1" applyFont="1" applyFill="1" applyBorder="1"/>
    <xf numFmtId="4" fontId="3" fillId="3" borderId="5" xfId="0" applyNumberFormat="1" applyFont="1" applyFill="1" applyBorder="1"/>
    <xf numFmtId="4" fontId="3" fillId="3" borderId="22" xfId="0" applyNumberFormat="1" applyFont="1" applyFill="1" applyBorder="1"/>
    <xf numFmtId="9" fontId="3" fillId="3" borderId="5" xfId="1" applyFont="1" applyFill="1" applyBorder="1"/>
    <xf numFmtId="9" fontId="3" fillId="3" borderId="9" xfId="1" applyFont="1" applyFill="1" applyBorder="1"/>
    <xf numFmtId="4" fontId="3" fillId="3" borderId="38" xfId="0" applyNumberFormat="1" applyFont="1" applyFill="1" applyBorder="1"/>
    <xf numFmtId="4" fontId="3" fillId="3" borderId="14" xfId="0" applyNumberFormat="1" applyFont="1" applyFill="1" applyBorder="1"/>
    <xf numFmtId="4" fontId="2" fillId="3" borderId="14" xfId="0" applyNumberFormat="1" applyFont="1" applyFill="1" applyBorder="1"/>
    <xf numFmtId="4" fontId="2" fillId="3" borderId="15" xfId="0" applyNumberFormat="1" applyFont="1" applyFill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3" borderId="12" xfId="0" applyNumberFormat="1" applyFont="1" applyFill="1" applyBorder="1"/>
    <xf numFmtId="4" fontId="2" fillId="3" borderId="16" xfId="0" applyNumberFormat="1" applyFont="1" applyFill="1" applyBorder="1"/>
    <xf numFmtId="4" fontId="2" fillId="3" borderId="13" xfId="0" applyNumberFormat="1" applyFont="1" applyFill="1" applyBorder="1"/>
    <xf numFmtId="4" fontId="2" fillId="2" borderId="19" xfId="0" applyNumberFormat="1" applyFont="1" applyFill="1" applyBorder="1"/>
    <xf numFmtId="4" fontId="2" fillId="2" borderId="20" xfId="0" applyNumberFormat="1" applyFont="1" applyFill="1" applyBorder="1"/>
    <xf numFmtId="4" fontId="2" fillId="6" borderId="4" xfId="0" applyNumberFormat="1" applyFont="1" applyFill="1" applyBorder="1"/>
    <xf numFmtId="4" fontId="6" fillId="6" borderId="10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center" vertical="center" wrapText="1"/>
    </xf>
    <xf numFmtId="4" fontId="0" fillId="6" borderId="0" xfId="0" applyNumberFormat="1" applyFill="1"/>
    <xf numFmtId="4" fontId="2" fillId="6" borderId="11" xfId="0" applyNumberFormat="1" applyFont="1" applyFill="1" applyBorder="1"/>
    <xf numFmtId="4" fontId="2" fillId="6" borderId="19" xfId="0" applyNumberFormat="1" applyFont="1" applyFill="1" applyBorder="1"/>
    <xf numFmtId="4" fontId="2" fillId="6" borderId="9" xfId="0" applyNumberFormat="1" applyFont="1" applyFill="1" applyBorder="1"/>
    <xf numFmtId="4" fontId="3" fillId="6" borderId="5" xfId="0" applyNumberFormat="1" applyFont="1" applyFill="1" applyBorder="1"/>
    <xf numFmtId="4" fontId="2" fillId="6" borderId="20" xfId="0" applyNumberFormat="1" applyFont="1" applyFill="1" applyBorder="1"/>
    <xf numFmtId="9" fontId="3" fillId="6" borderId="5" xfId="1" applyFont="1" applyFill="1" applyBorder="1"/>
    <xf numFmtId="4" fontId="6" fillId="6" borderId="6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/>
    <xf numFmtId="4" fontId="3" fillId="6" borderId="4" xfId="0" applyNumberFormat="1" applyFont="1" applyFill="1" applyBorder="1"/>
    <xf numFmtId="4" fontId="2" fillId="6" borderId="0" xfId="0" applyNumberFormat="1" applyFont="1" applyFill="1"/>
    <xf numFmtId="4" fontId="3" fillId="6" borderId="20" xfId="0" applyNumberFormat="1" applyFont="1" applyFill="1" applyBorder="1"/>
    <xf numFmtId="4" fontId="3" fillId="2" borderId="19" xfId="0" applyNumberFormat="1" applyFont="1" applyFill="1" applyBorder="1"/>
    <xf numFmtId="4" fontId="3" fillId="3" borderId="18" xfId="0" applyNumberFormat="1" applyFont="1" applyFill="1" applyBorder="1"/>
    <xf numFmtId="4" fontId="3" fillId="3" borderId="3" xfId="0" applyNumberFormat="1" applyFont="1" applyFill="1" applyBorder="1"/>
    <xf numFmtId="4" fontId="3" fillId="3" borderId="0" xfId="0" applyNumberFormat="1" applyFont="1" applyFill="1" applyBorder="1"/>
    <xf numFmtId="9" fontId="3" fillId="3" borderId="3" xfId="1" applyFont="1" applyFill="1" applyBorder="1"/>
    <xf numFmtId="9" fontId="3" fillId="3" borderId="17" xfId="1" applyFont="1" applyFill="1" applyBorder="1"/>
    <xf numFmtId="4" fontId="3" fillId="2" borderId="38" xfId="0" applyNumberFormat="1" applyFont="1" applyFill="1" applyBorder="1"/>
    <xf numFmtId="4" fontId="8" fillId="2" borderId="14" xfId="0" applyNumberFormat="1" applyFont="1" applyFill="1" applyBorder="1"/>
    <xf numFmtId="4" fontId="0" fillId="2" borderId="13" xfId="0" applyNumberFormat="1" applyFill="1" applyBorder="1"/>
    <xf numFmtId="4" fontId="3" fillId="2" borderId="15" xfId="0" applyNumberFormat="1" applyFont="1" applyFill="1" applyBorder="1"/>
    <xf numFmtId="4" fontId="6" fillId="0" borderId="4" xfId="0" applyNumberFormat="1" applyFont="1" applyBorder="1"/>
    <xf numFmtId="4" fontId="3" fillId="6" borderId="19" xfId="0" applyNumberFormat="1" applyFont="1" applyFill="1" applyBorder="1"/>
    <xf numFmtId="4" fontId="9" fillId="0" borderId="4" xfId="0" applyNumberFormat="1" applyFont="1" applyBorder="1"/>
    <xf numFmtId="4" fontId="9" fillId="2" borderId="4" xfId="0" applyNumberFormat="1" applyFont="1" applyFill="1" applyBorder="1"/>
    <xf numFmtId="4" fontId="14" fillId="0" borderId="4" xfId="0" applyNumberFormat="1" applyFont="1" applyBorder="1"/>
    <xf numFmtId="4" fontId="14" fillId="2" borderId="4" xfId="0" applyNumberFormat="1" applyFont="1" applyFill="1" applyBorder="1"/>
    <xf numFmtId="4" fontId="15" fillId="0" borderId="4" xfId="0" applyNumberFormat="1" applyFont="1" applyBorder="1"/>
    <xf numFmtId="4" fontId="15" fillId="2" borderId="4" xfId="0" applyNumberFormat="1" applyFont="1" applyFill="1" applyBorder="1"/>
    <xf numFmtId="4" fontId="15" fillId="0" borderId="28" xfId="0" applyNumberFormat="1" applyFont="1" applyBorder="1"/>
    <xf numFmtId="4" fontId="15" fillId="0" borderId="29" xfId="0" applyNumberFormat="1" applyFont="1" applyBorder="1"/>
    <xf numFmtId="4" fontId="9" fillId="0" borderId="42" xfId="0" applyNumberFormat="1" applyFont="1" applyBorder="1"/>
    <xf numFmtId="4" fontId="14" fillId="0" borderId="42" xfId="0" applyNumberFormat="1" applyFont="1" applyBorder="1"/>
    <xf numFmtId="4" fontId="13" fillId="0" borderId="42" xfId="0" applyNumberFormat="1" applyFont="1" applyBorder="1"/>
    <xf numFmtId="4" fontId="16" fillId="0" borderId="20" xfId="0" applyNumberFormat="1" applyFont="1" applyBorder="1"/>
    <xf numFmtId="4" fontId="16" fillId="0" borderId="4" xfId="0" applyNumberFormat="1" applyFont="1" applyBorder="1"/>
    <xf numFmtId="4" fontId="16" fillId="0" borderId="28" xfId="0" applyNumberFormat="1" applyFont="1" applyBorder="1"/>
    <xf numFmtId="9" fontId="15" fillId="0" borderId="32" xfId="1" applyFont="1" applyBorder="1"/>
    <xf numFmtId="9" fontId="17" fillId="0" borderId="39" xfId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" fontId="6" fillId="6" borderId="3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7" workbookViewId="0">
      <selection activeCell="A95" sqref="A95"/>
    </sheetView>
  </sheetViews>
  <sheetFormatPr baseColWidth="10" defaultRowHeight="14" x14ac:dyDescent="0"/>
  <cols>
    <col min="1" max="1" width="87.5" customWidth="1"/>
    <col min="2" max="2" width="19.6640625" customWidth="1"/>
  </cols>
  <sheetData>
    <row r="1" spans="1:10" ht="15" thickBot="1"/>
    <row r="2" spans="1:10" ht="29" thickBot="1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7"/>
    </row>
    <row r="4" spans="1:10" s="1" customFormat="1" ht="18"/>
    <row r="5" spans="1:10" s="1" customFormat="1" ht="18">
      <c r="A5" s="1" t="s">
        <v>14</v>
      </c>
    </row>
    <row r="6" spans="1:10" s="1" customFormat="1" ht="18">
      <c r="A6" s="1" t="s">
        <v>114</v>
      </c>
    </row>
    <row r="7" spans="1:10" s="1" customFormat="1" ht="18">
      <c r="A7" s="1" t="s">
        <v>115</v>
      </c>
    </row>
    <row r="8" spans="1:10" s="1" customFormat="1" ht="18"/>
    <row r="9" spans="1:10" s="1" customFormat="1" ht="18">
      <c r="A9" s="1" t="s">
        <v>116</v>
      </c>
    </row>
    <row r="10" spans="1:10" s="1" customFormat="1" ht="18">
      <c r="A10" s="1" t="s">
        <v>125</v>
      </c>
    </row>
    <row r="11" spans="1:10" s="1" customFormat="1" ht="18">
      <c r="A11" s="1" t="s">
        <v>126</v>
      </c>
    </row>
    <row r="12" spans="1:10" s="1" customFormat="1" ht="18"/>
    <row r="13" spans="1:10" s="1" customFormat="1" ht="18">
      <c r="A13" s="1" t="s">
        <v>113</v>
      </c>
    </row>
    <row r="14" spans="1:10" s="1" customFormat="1" ht="18">
      <c r="A14" s="1" t="s">
        <v>127</v>
      </c>
    </row>
    <row r="15" spans="1:10" s="1" customFormat="1" ht="18">
      <c r="A15" s="1" t="s">
        <v>128</v>
      </c>
    </row>
    <row r="16" spans="1:10" s="1" customFormat="1" ht="18"/>
    <row r="17" spans="1:5" s="1" customFormat="1" ht="18">
      <c r="A17" s="1" t="s">
        <v>129</v>
      </c>
    </row>
    <row r="18" spans="1:5" s="1" customFormat="1" ht="18"/>
    <row r="19" spans="1:5" s="27" customFormat="1" ht="25">
      <c r="A19" s="28" t="s">
        <v>71</v>
      </c>
    </row>
    <row r="20" spans="1:5" s="1" customFormat="1" ht="18">
      <c r="A20" s="2"/>
    </row>
    <row r="21" spans="1:5" s="1" customFormat="1" ht="18">
      <c r="A21" s="1" t="s">
        <v>130</v>
      </c>
    </row>
    <row r="22" spans="1:5" s="1" customFormat="1" ht="18"/>
    <row r="23" spans="1:5" s="4" customFormat="1" ht="18">
      <c r="A23" s="3" t="s">
        <v>15</v>
      </c>
      <c r="B23" s="3"/>
      <c r="C23" s="3"/>
      <c r="D23" s="3"/>
      <c r="E23" s="3"/>
    </row>
    <row r="24" spans="1:5" s="4" customFormat="1" ht="18">
      <c r="A24" s="3"/>
      <c r="B24" s="3"/>
      <c r="C24" s="3"/>
      <c r="D24" s="3"/>
      <c r="E24" s="3"/>
    </row>
    <row r="25" spans="1:5" s="4" customFormat="1" ht="18">
      <c r="A25" s="8" t="s">
        <v>5</v>
      </c>
      <c r="B25" s="5">
        <v>10</v>
      </c>
    </row>
    <row r="26" spans="1:5" s="4" customFormat="1" ht="18">
      <c r="A26" s="8" t="s">
        <v>7</v>
      </c>
      <c r="B26" s="5">
        <f>1580*10</f>
        <v>15800</v>
      </c>
    </row>
    <row r="27" spans="1:5" s="4" customFormat="1" ht="18">
      <c r="A27" s="8" t="s">
        <v>6</v>
      </c>
      <c r="B27" s="5">
        <f>1500*10</f>
        <v>15000</v>
      </c>
    </row>
    <row r="28" spans="1:5" s="4" customFormat="1" ht="18">
      <c r="A28" s="8" t="s">
        <v>9</v>
      </c>
      <c r="B28" s="5">
        <f>+B26*13</f>
        <v>205400</v>
      </c>
    </row>
    <row r="29" spans="1:5" s="4" customFormat="1" ht="18">
      <c r="A29" s="8" t="s">
        <v>8</v>
      </c>
      <c r="B29" s="5"/>
    </row>
    <row r="30" spans="1:5" s="4" customFormat="1" ht="18">
      <c r="A30" s="8" t="s">
        <v>3</v>
      </c>
      <c r="B30" s="5">
        <v>40000</v>
      </c>
    </row>
    <row r="31" spans="1:5" s="4" customFormat="1" ht="18">
      <c r="A31" s="8" t="s">
        <v>4</v>
      </c>
      <c r="B31" s="5">
        <v>30000</v>
      </c>
    </row>
    <row r="32" spans="1:5" s="4" customFormat="1" ht="18">
      <c r="A32" s="8" t="s">
        <v>10</v>
      </c>
      <c r="B32" s="5"/>
    </row>
    <row r="33" spans="1:2" s="4" customFormat="1" ht="18">
      <c r="A33" s="8" t="s">
        <v>13</v>
      </c>
      <c r="B33" s="5"/>
    </row>
    <row r="34" spans="1:2" s="4" customFormat="1" ht="18">
      <c r="A34" s="9"/>
      <c r="B34" s="10"/>
    </row>
    <row r="35" spans="1:2" s="6" customFormat="1" ht="18">
      <c r="A35" s="8" t="s">
        <v>12</v>
      </c>
      <c r="B35" s="5"/>
    </row>
    <row r="36" spans="1:2" s="6" customFormat="1" ht="18">
      <c r="A36" s="8" t="s">
        <v>11</v>
      </c>
      <c r="B36" s="5"/>
    </row>
    <row r="37" spans="1:2" s="6" customFormat="1" ht="36">
      <c r="A37" s="82" t="s">
        <v>118</v>
      </c>
      <c r="B37" s="5"/>
    </row>
    <row r="38" spans="1:2" ht="18">
      <c r="A38" s="83" t="s">
        <v>117</v>
      </c>
      <c r="B38" s="5"/>
    </row>
    <row r="39" spans="1:2" s="12" customFormat="1" ht="18">
      <c r="A39" s="11"/>
      <c r="B39" s="11"/>
    </row>
    <row r="41" spans="1:2" ht="18">
      <c r="A41" s="3" t="s">
        <v>16</v>
      </c>
      <c r="B41" s="3"/>
    </row>
    <row r="42" spans="1:2" ht="18">
      <c r="A42" s="3"/>
      <c r="B42" s="3"/>
    </row>
    <row r="43" spans="1:2" ht="18">
      <c r="A43" s="8" t="s">
        <v>5</v>
      </c>
      <c r="B43" s="5">
        <v>2</v>
      </c>
    </row>
    <row r="44" spans="1:2" ht="18">
      <c r="A44" s="8" t="s">
        <v>7</v>
      </c>
      <c r="B44" s="5">
        <f>+B43*1600</f>
        <v>3200</v>
      </c>
    </row>
    <row r="45" spans="1:2" ht="18">
      <c r="A45" s="8" t="s">
        <v>6</v>
      </c>
      <c r="B45" s="5">
        <f>1660*2</f>
        <v>3320</v>
      </c>
    </row>
    <row r="46" spans="1:2" ht="18">
      <c r="A46" s="8" t="s">
        <v>9</v>
      </c>
      <c r="B46" s="5">
        <f>+B44*21</f>
        <v>67200</v>
      </c>
    </row>
    <row r="47" spans="1:2" ht="18">
      <c r="A47" s="8" t="s">
        <v>8</v>
      </c>
      <c r="B47" s="5"/>
    </row>
    <row r="48" spans="1:2" ht="18">
      <c r="A48" s="8" t="s">
        <v>3</v>
      </c>
      <c r="B48" s="5">
        <v>10000</v>
      </c>
    </row>
    <row r="49" spans="1:5" ht="18">
      <c r="A49" s="8" t="s">
        <v>4</v>
      </c>
      <c r="B49" s="5">
        <v>8000</v>
      </c>
    </row>
    <row r="50" spans="1:5" ht="18">
      <c r="A50" s="8" t="s">
        <v>10</v>
      </c>
      <c r="B50" s="5">
        <f>+(B46/12)*1.2</f>
        <v>6720</v>
      </c>
    </row>
    <row r="51" spans="1:5" ht="18">
      <c r="A51" s="8" t="s">
        <v>13</v>
      </c>
      <c r="B51" s="5"/>
    </row>
    <row r="52" spans="1:5" ht="18">
      <c r="A52" s="9"/>
      <c r="B52" s="5"/>
    </row>
    <row r="53" spans="1:5" ht="18">
      <c r="A53" s="8" t="s">
        <v>12</v>
      </c>
      <c r="B53" s="5"/>
    </row>
    <row r="54" spans="1:5" ht="18">
      <c r="A54" s="8" t="s">
        <v>11</v>
      </c>
      <c r="B54" s="5"/>
    </row>
    <row r="55" spans="1:5" s="6" customFormat="1" ht="36">
      <c r="A55" s="82" t="s">
        <v>118</v>
      </c>
      <c r="B55" s="5"/>
    </row>
    <row r="56" spans="1:5" ht="18">
      <c r="A56" s="83" t="s">
        <v>117</v>
      </c>
      <c r="B56" s="5"/>
    </row>
    <row r="58" spans="1:5" s="27" customFormat="1" ht="25">
      <c r="A58" s="28" t="s">
        <v>72</v>
      </c>
    </row>
    <row r="59" spans="1:5" s="27" customFormat="1" ht="25">
      <c r="A59" s="28"/>
    </row>
    <row r="60" spans="1:5" s="1" customFormat="1" ht="18">
      <c r="A60" s="1" t="s">
        <v>130</v>
      </c>
    </row>
    <row r="61" spans="1:5" s="1" customFormat="1" ht="18">
      <c r="A61" s="2"/>
    </row>
    <row r="62" spans="1:5" s="4" customFormat="1" ht="18">
      <c r="A62" s="3" t="s">
        <v>18</v>
      </c>
      <c r="B62" s="3"/>
      <c r="C62" s="3"/>
      <c r="D62" s="3"/>
      <c r="E62" s="3"/>
    </row>
    <row r="64" spans="1:5" ht="18">
      <c r="A64" s="8" t="s">
        <v>19</v>
      </c>
      <c r="B64" s="5">
        <v>2</v>
      </c>
    </row>
    <row r="65" spans="1:5" ht="18">
      <c r="A65" s="8" t="s">
        <v>25</v>
      </c>
      <c r="B65" s="5">
        <f>3200</f>
        <v>3200</v>
      </c>
    </row>
    <row r="66" spans="1:5" ht="18">
      <c r="A66" s="8" t="s">
        <v>26</v>
      </c>
      <c r="B66" s="5">
        <v>2800</v>
      </c>
    </row>
    <row r="67" spans="1:5" ht="18">
      <c r="A67" s="8" t="s">
        <v>20</v>
      </c>
      <c r="B67" s="5">
        <v>4000</v>
      </c>
    </row>
    <row r="68" spans="1:5" ht="18">
      <c r="A68" s="8" t="s">
        <v>28</v>
      </c>
      <c r="B68" s="5">
        <v>6000</v>
      </c>
    </row>
    <row r="69" spans="1:5" ht="18">
      <c r="A69" s="8" t="s">
        <v>21</v>
      </c>
      <c r="B69" s="5">
        <v>4000</v>
      </c>
    </row>
    <row r="70" spans="1:5" ht="18">
      <c r="A70" s="8" t="s">
        <v>22</v>
      </c>
      <c r="B70" s="5">
        <v>1000</v>
      </c>
    </row>
    <row r="71" spans="1:5" ht="18">
      <c r="A71" s="8" t="s">
        <v>23</v>
      </c>
      <c r="B71" s="5">
        <v>2000</v>
      </c>
    </row>
    <row r="72" spans="1:5" ht="18">
      <c r="A72" s="8" t="s">
        <v>121</v>
      </c>
      <c r="B72" s="5">
        <v>10000</v>
      </c>
    </row>
    <row r="73" spans="1:5" ht="18">
      <c r="A73" s="8"/>
      <c r="B73" s="5"/>
    </row>
    <row r="74" spans="1:5" ht="18">
      <c r="A74" s="8" t="s">
        <v>24</v>
      </c>
      <c r="B74" s="5"/>
    </row>
    <row r="75" spans="1:5" ht="18">
      <c r="A75" s="8" t="s">
        <v>27</v>
      </c>
      <c r="B75" s="5"/>
    </row>
    <row r="76" spans="1:5" ht="36">
      <c r="A76" s="82" t="s">
        <v>119</v>
      </c>
      <c r="B76" s="5"/>
    </row>
    <row r="77" spans="1:5" ht="18">
      <c r="A77" s="83" t="s">
        <v>117</v>
      </c>
      <c r="B77" s="5"/>
    </row>
    <row r="80" spans="1:5" s="4" customFormat="1" ht="18">
      <c r="A80" s="3" t="s">
        <v>29</v>
      </c>
      <c r="B80" s="3"/>
      <c r="C80" s="3"/>
      <c r="D80" s="3"/>
      <c r="E80" s="3"/>
    </row>
    <row r="82" spans="1:2" ht="18">
      <c r="A82" s="8" t="s">
        <v>19</v>
      </c>
      <c r="B82" s="5">
        <v>2</v>
      </c>
    </row>
    <row r="83" spans="1:2" ht="18">
      <c r="A83" s="8" t="s">
        <v>25</v>
      </c>
      <c r="B83" s="5">
        <f>3200</f>
        <v>3200</v>
      </c>
    </row>
    <row r="84" spans="1:2" ht="18">
      <c r="A84" s="8" t="s">
        <v>26</v>
      </c>
      <c r="B84" s="5">
        <v>3000</v>
      </c>
    </row>
    <row r="85" spans="1:2" ht="18">
      <c r="A85" s="8" t="s">
        <v>20</v>
      </c>
      <c r="B85" s="5">
        <v>3000</v>
      </c>
    </row>
    <row r="86" spans="1:2" ht="18">
      <c r="A86" s="8" t="s">
        <v>28</v>
      </c>
      <c r="B86" s="5">
        <v>3500</v>
      </c>
    </row>
    <row r="87" spans="1:2" ht="18">
      <c r="A87" s="8" t="s">
        <v>21</v>
      </c>
      <c r="B87" s="5">
        <v>2000</v>
      </c>
    </row>
    <row r="88" spans="1:2" ht="18">
      <c r="A88" s="8" t="s">
        <v>22</v>
      </c>
      <c r="B88" s="5">
        <v>0</v>
      </c>
    </row>
    <row r="89" spans="1:2" ht="18">
      <c r="A89" s="8" t="s">
        <v>23</v>
      </c>
      <c r="B89" s="5">
        <v>1500</v>
      </c>
    </row>
    <row r="90" spans="1:2" ht="18">
      <c r="A90" s="8" t="s">
        <v>121</v>
      </c>
      <c r="B90" s="5">
        <v>5000</v>
      </c>
    </row>
    <row r="91" spans="1:2" ht="18">
      <c r="A91" s="8"/>
      <c r="B91" s="5"/>
    </row>
    <row r="92" spans="1:2" ht="18">
      <c r="A92" s="8" t="s">
        <v>30</v>
      </c>
      <c r="B92" s="5"/>
    </row>
    <row r="93" spans="1:2" ht="18">
      <c r="A93" s="8" t="s">
        <v>27</v>
      </c>
      <c r="B93" s="5"/>
    </row>
    <row r="94" spans="1:2" ht="36">
      <c r="A94" s="82" t="s">
        <v>119</v>
      </c>
      <c r="B94" s="5"/>
    </row>
    <row r="95" spans="1:2" ht="18">
      <c r="A95" s="83" t="s">
        <v>120</v>
      </c>
      <c r="B95" s="5"/>
    </row>
  </sheetData>
  <mergeCells count="1">
    <mergeCell ref="A2:J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1"/>
  <sheetViews>
    <sheetView topLeftCell="A12" workbookViewId="0">
      <selection activeCell="J27" sqref="J27"/>
    </sheetView>
  </sheetViews>
  <sheetFormatPr baseColWidth="10" defaultRowHeight="14" x14ac:dyDescent="0"/>
  <cols>
    <col min="1" max="1" width="26.5" style="6" customWidth="1"/>
    <col min="2" max="2" width="14.5" style="6" customWidth="1"/>
    <col min="3" max="3" width="1.5" style="6" customWidth="1"/>
    <col min="4" max="4" width="14.6640625" style="6" customWidth="1"/>
    <col min="5" max="5" width="11.33203125" style="6" customWidth="1"/>
    <col min="6" max="6" width="14" style="6" customWidth="1"/>
    <col min="7" max="7" width="1.83203125" style="6" customWidth="1"/>
    <col min="8" max="8" width="15.1640625" style="6" customWidth="1"/>
    <col min="9" max="9" width="2" style="6" customWidth="1"/>
    <col min="10" max="10" width="21.33203125" style="6" customWidth="1"/>
    <col min="11" max="11" width="1.5" style="6" customWidth="1"/>
    <col min="12" max="12" width="16.83203125" style="6" customWidth="1"/>
    <col min="13" max="13" width="13.1640625" style="6" customWidth="1"/>
    <col min="14" max="14" width="9" style="6" customWidth="1"/>
    <col min="15" max="15" width="17.83203125" style="6" customWidth="1"/>
    <col min="16" max="16" width="2.5" style="6" customWidth="1"/>
    <col min="17" max="17" width="19.5" style="6" customWidth="1"/>
    <col min="18" max="18" width="0.1640625" style="6" customWidth="1"/>
    <col min="19" max="16384" width="10.83203125" style="6"/>
  </cols>
  <sheetData>
    <row r="3" spans="1:3" s="30" customFormat="1" ht="25">
      <c r="A3" s="29" t="s">
        <v>69</v>
      </c>
    </row>
    <row r="6" spans="1:3" s="4" customFormat="1" ht="18">
      <c r="A6" s="4" t="s">
        <v>47</v>
      </c>
    </row>
    <row r="7" spans="1:3" s="4" customFormat="1" ht="18"/>
    <row r="8" spans="1:3" s="4" customFormat="1" ht="18">
      <c r="A8" s="10" t="s">
        <v>57</v>
      </c>
      <c r="B8" s="4">
        <v>80000</v>
      </c>
      <c r="C8" s="4" t="s">
        <v>48</v>
      </c>
    </row>
    <row r="9" spans="1:3" s="4" customFormat="1" ht="18">
      <c r="A9" s="10" t="s">
        <v>55</v>
      </c>
      <c r="B9" s="4" t="s">
        <v>56</v>
      </c>
    </row>
    <row r="10" spans="1:3" s="4" customFormat="1" ht="18">
      <c r="A10" s="10" t="s">
        <v>33</v>
      </c>
      <c r="B10" s="4">
        <v>50000</v>
      </c>
    </row>
    <row r="11" spans="1:3" s="4" customFormat="1" ht="18">
      <c r="A11" s="7" t="s">
        <v>53</v>
      </c>
      <c r="B11" s="4" t="s">
        <v>62</v>
      </c>
    </row>
    <row r="12" spans="1:3" s="4" customFormat="1" ht="18">
      <c r="A12" s="7"/>
    </row>
    <row r="13" spans="1:3" s="4" customFormat="1" ht="18">
      <c r="A13" s="7" t="s">
        <v>54</v>
      </c>
      <c r="B13" s="4" t="s">
        <v>63</v>
      </c>
    </row>
    <row r="14" spans="1:3" s="4" customFormat="1" ht="18">
      <c r="A14" s="7" t="s">
        <v>34</v>
      </c>
      <c r="B14" s="4" t="s">
        <v>64</v>
      </c>
    </row>
    <row r="15" spans="1:3" s="4" customFormat="1" ht="18">
      <c r="A15" s="7"/>
    </row>
    <row r="16" spans="1:3" s="4" customFormat="1" ht="18">
      <c r="A16" s="7" t="s">
        <v>35</v>
      </c>
      <c r="B16" s="4" t="s">
        <v>65</v>
      </c>
    </row>
    <row r="17" spans="1:18" s="4" customFormat="1" ht="18">
      <c r="A17" s="10" t="s">
        <v>36</v>
      </c>
      <c r="B17" s="4" t="s">
        <v>67</v>
      </c>
    </row>
    <row r="18" spans="1:18" s="4" customFormat="1" ht="18"/>
    <row r="19" spans="1:18" s="4" customFormat="1" ht="18"/>
    <row r="21" spans="1:18" ht="15" thickBot="1"/>
    <row r="22" spans="1:18" ht="26" thickBot="1">
      <c r="B22" s="158" t="s">
        <v>66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</row>
    <row r="23" spans="1:18" ht="15" thickBot="1"/>
    <row r="24" spans="1:18" ht="26" thickBot="1">
      <c r="B24" s="158" t="s">
        <v>32</v>
      </c>
      <c r="C24" s="159"/>
      <c r="D24" s="159"/>
      <c r="E24" s="159"/>
      <c r="F24" s="159"/>
      <c r="G24" s="159"/>
      <c r="H24" s="160"/>
      <c r="J24" s="158" t="s">
        <v>43</v>
      </c>
      <c r="K24" s="159"/>
      <c r="L24" s="159"/>
      <c r="M24" s="159"/>
      <c r="N24" s="159"/>
      <c r="O24" s="159"/>
      <c r="P24" s="159"/>
      <c r="Q24" s="159"/>
      <c r="R24" s="160"/>
    </row>
    <row r="25" spans="1:18" ht="15" thickBot="1">
      <c r="D25" s="161" t="s">
        <v>52</v>
      </c>
      <c r="E25" s="162"/>
      <c r="F25" s="163"/>
      <c r="M25" s="161" t="s">
        <v>52</v>
      </c>
      <c r="N25" s="162"/>
      <c r="O25" s="163"/>
    </row>
    <row r="26" spans="1:18" ht="29" thickBot="1">
      <c r="A26" s="10"/>
      <c r="B26" s="13" t="s">
        <v>37</v>
      </c>
      <c r="C26" s="14"/>
      <c r="D26" s="112" t="s">
        <v>38</v>
      </c>
      <c r="E26" s="113" t="s">
        <v>39</v>
      </c>
      <c r="F26" s="114" t="s">
        <v>40</v>
      </c>
      <c r="G26" s="14"/>
      <c r="H26" s="88" t="s">
        <v>41</v>
      </c>
      <c r="I26" s="14"/>
      <c r="J26" s="15" t="s">
        <v>37</v>
      </c>
      <c r="K26" s="14"/>
      <c r="L26" s="13" t="s">
        <v>37</v>
      </c>
      <c r="M26" s="122" t="s">
        <v>42</v>
      </c>
      <c r="N26" s="113" t="s">
        <v>39</v>
      </c>
      <c r="O26" s="114" t="s">
        <v>40</v>
      </c>
      <c r="P26" s="14"/>
      <c r="Q26" s="15" t="s">
        <v>41</v>
      </c>
    </row>
    <row r="27" spans="1:18" ht="19" thickBot="1">
      <c r="A27" s="10"/>
      <c r="B27" s="89"/>
      <c r="C27" s="16"/>
      <c r="D27" s="115"/>
      <c r="E27" s="115"/>
      <c r="F27" s="115"/>
      <c r="G27" s="16"/>
      <c r="H27" s="86"/>
      <c r="I27" s="16"/>
      <c r="K27" s="16"/>
      <c r="L27" s="24"/>
      <c r="M27" s="115"/>
      <c r="N27" s="115"/>
      <c r="O27" s="115"/>
      <c r="P27" s="16"/>
      <c r="Q27" s="86"/>
    </row>
    <row r="28" spans="1:18" ht="18">
      <c r="A28" s="133" t="s">
        <v>33</v>
      </c>
      <c r="B28" s="95">
        <v>120000</v>
      </c>
      <c r="C28" s="20"/>
      <c r="D28" s="116"/>
      <c r="E28" s="111"/>
      <c r="F28" s="111"/>
      <c r="G28" s="20"/>
      <c r="H28" s="8">
        <f>+F28+B28</f>
        <v>120000</v>
      </c>
      <c r="I28" s="17"/>
      <c r="J28" s="92" t="s">
        <v>43</v>
      </c>
      <c r="K28" s="17"/>
      <c r="L28" s="100">
        <v>100000</v>
      </c>
      <c r="M28" s="123"/>
      <c r="N28" s="124"/>
      <c r="O28" s="124"/>
      <c r="P28" s="20"/>
      <c r="Q28" s="87">
        <f>+O28+L28</f>
        <v>100000</v>
      </c>
    </row>
    <row r="29" spans="1:18" ht="18">
      <c r="A29" s="61"/>
      <c r="B29" s="95"/>
      <c r="C29" s="20"/>
      <c r="D29" s="116"/>
      <c r="E29" s="111"/>
      <c r="F29" s="111"/>
      <c r="G29" s="20"/>
      <c r="H29" s="8"/>
      <c r="I29" s="17"/>
      <c r="J29" s="92"/>
      <c r="K29" s="17"/>
      <c r="L29" s="101"/>
      <c r="M29" s="123"/>
      <c r="N29" s="124"/>
      <c r="O29" s="124"/>
      <c r="P29" s="20"/>
      <c r="Q29" s="87"/>
    </row>
    <row r="30" spans="1:18" ht="18">
      <c r="A30" s="61" t="s">
        <v>53</v>
      </c>
      <c r="B30" s="95"/>
      <c r="C30" s="20"/>
      <c r="D30" s="116"/>
      <c r="E30" s="111"/>
      <c r="F30" s="111"/>
      <c r="G30" s="20"/>
      <c r="H30" s="8"/>
      <c r="I30" s="17"/>
      <c r="J30" s="92" t="s">
        <v>44</v>
      </c>
      <c r="K30" s="17"/>
      <c r="L30" s="101">
        <v>100000</v>
      </c>
      <c r="M30" s="123"/>
      <c r="N30" s="124"/>
      <c r="O30" s="124"/>
      <c r="P30" s="20"/>
      <c r="Q30" s="87">
        <f t="shared" ref="Q30:Q42" si="0">+O30+L30</f>
        <v>100000</v>
      </c>
    </row>
    <row r="31" spans="1:18" ht="18">
      <c r="A31" s="134" t="s">
        <v>58</v>
      </c>
      <c r="B31" s="95">
        <v>15000</v>
      </c>
      <c r="C31" s="20"/>
      <c r="D31" s="116"/>
      <c r="E31" s="111"/>
      <c r="F31" s="111"/>
      <c r="G31" s="20"/>
      <c r="H31" s="8">
        <f>+F31+B31</f>
        <v>15000</v>
      </c>
      <c r="I31" s="17"/>
      <c r="J31" s="92"/>
      <c r="K31" s="17"/>
      <c r="L31" s="101"/>
      <c r="M31" s="123"/>
      <c r="N31" s="124"/>
      <c r="O31" s="124"/>
      <c r="P31" s="20"/>
      <c r="Q31" s="87"/>
    </row>
    <row r="32" spans="1:18" ht="18">
      <c r="A32" s="134" t="s">
        <v>59</v>
      </c>
      <c r="B32" s="95">
        <v>5000</v>
      </c>
      <c r="C32" s="20"/>
      <c r="D32" s="116"/>
      <c r="E32" s="111"/>
      <c r="F32" s="111"/>
      <c r="G32" s="20"/>
      <c r="H32" s="8">
        <f t="shared" ref="H32:H42" si="1">+F32+B32</f>
        <v>5000</v>
      </c>
      <c r="I32" s="17"/>
      <c r="J32" s="92"/>
      <c r="K32" s="17"/>
      <c r="L32" s="101"/>
      <c r="M32" s="123"/>
      <c r="N32" s="124"/>
      <c r="O32" s="124"/>
      <c r="P32" s="20"/>
      <c r="Q32" s="87"/>
    </row>
    <row r="33" spans="1:17" ht="18">
      <c r="A33" s="134"/>
      <c r="B33" s="95"/>
      <c r="C33" s="20"/>
      <c r="D33" s="116"/>
      <c r="E33" s="111"/>
      <c r="F33" s="111"/>
      <c r="G33" s="20"/>
      <c r="H33" s="8"/>
      <c r="I33" s="17"/>
      <c r="J33" s="92"/>
      <c r="K33" s="17"/>
      <c r="L33" s="101"/>
      <c r="M33" s="123"/>
      <c r="N33" s="124"/>
      <c r="O33" s="124"/>
      <c r="P33" s="20"/>
      <c r="Q33" s="87"/>
    </row>
    <row r="34" spans="1:17" ht="18">
      <c r="A34" s="61" t="s">
        <v>54</v>
      </c>
      <c r="B34" s="95">
        <v>2000</v>
      </c>
      <c r="C34" s="20"/>
      <c r="D34" s="116"/>
      <c r="E34" s="111"/>
      <c r="F34" s="111"/>
      <c r="G34" s="20"/>
      <c r="H34" s="8">
        <f t="shared" si="1"/>
        <v>2000</v>
      </c>
      <c r="I34" s="17"/>
      <c r="J34" s="93"/>
      <c r="K34" s="17"/>
      <c r="L34" s="102"/>
      <c r="M34" s="123"/>
      <c r="N34" s="124"/>
      <c r="O34" s="124"/>
      <c r="P34" s="20"/>
      <c r="Q34" s="87"/>
    </row>
    <row r="35" spans="1:17" ht="18">
      <c r="A35" s="61"/>
      <c r="B35" s="95"/>
      <c r="C35" s="20"/>
      <c r="D35" s="116"/>
      <c r="E35" s="111"/>
      <c r="F35" s="111"/>
      <c r="G35" s="20"/>
      <c r="H35" s="8"/>
      <c r="I35" s="17"/>
      <c r="J35" s="93"/>
      <c r="K35" s="17"/>
      <c r="L35" s="102"/>
      <c r="M35" s="123"/>
      <c r="N35" s="124"/>
      <c r="O35" s="124"/>
      <c r="P35" s="20"/>
      <c r="Q35" s="87"/>
    </row>
    <row r="36" spans="1:17" ht="18">
      <c r="A36" s="61" t="s">
        <v>34</v>
      </c>
      <c r="B36" s="95"/>
      <c r="C36" s="20"/>
      <c r="D36" s="116"/>
      <c r="E36" s="111"/>
      <c r="F36" s="111"/>
      <c r="G36" s="20"/>
      <c r="H36" s="8"/>
      <c r="I36" s="17"/>
      <c r="J36" s="93"/>
      <c r="K36" s="17"/>
      <c r="L36" s="102"/>
      <c r="M36" s="116"/>
      <c r="N36" s="111"/>
      <c r="O36" s="111"/>
      <c r="P36" s="20"/>
      <c r="Q36" s="87"/>
    </row>
    <row r="37" spans="1:17" ht="18">
      <c r="A37" s="61" t="s">
        <v>60</v>
      </c>
      <c r="B37" s="95">
        <v>35000</v>
      </c>
      <c r="C37" s="20"/>
      <c r="D37" s="116"/>
      <c r="E37" s="111"/>
      <c r="F37" s="111"/>
      <c r="G37" s="20"/>
      <c r="H37" s="8">
        <f t="shared" si="1"/>
        <v>35000</v>
      </c>
      <c r="I37" s="17"/>
      <c r="J37" s="93"/>
      <c r="K37" s="17"/>
      <c r="L37" s="102"/>
      <c r="M37" s="116"/>
      <c r="N37" s="111"/>
      <c r="O37" s="111"/>
      <c r="P37" s="20"/>
      <c r="Q37" s="87"/>
    </row>
    <row r="38" spans="1:17" ht="18">
      <c r="A38" s="61" t="s">
        <v>61</v>
      </c>
      <c r="B38" s="95">
        <v>10000</v>
      </c>
      <c r="C38" s="20"/>
      <c r="D38" s="116"/>
      <c r="E38" s="111"/>
      <c r="F38" s="111"/>
      <c r="G38" s="20"/>
      <c r="H38" s="8">
        <f t="shared" si="1"/>
        <v>10000</v>
      </c>
      <c r="I38" s="17"/>
      <c r="J38" s="93"/>
      <c r="K38" s="17"/>
      <c r="L38" s="102"/>
      <c r="M38" s="116"/>
      <c r="N38" s="111"/>
      <c r="O38" s="111"/>
      <c r="P38" s="20"/>
      <c r="Q38" s="87"/>
    </row>
    <row r="39" spans="1:17" ht="18">
      <c r="A39" s="61"/>
      <c r="B39" s="95"/>
      <c r="C39" s="20"/>
      <c r="D39" s="116"/>
      <c r="E39" s="111"/>
      <c r="F39" s="111"/>
      <c r="G39" s="20"/>
      <c r="H39" s="8"/>
      <c r="I39" s="17"/>
      <c r="J39" s="93"/>
      <c r="K39" s="17"/>
      <c r="L39" s="102"/>
      <c r="M39" s="116"/>
      <c r="N39" s="111"/>
      <c r="O39" s="111"/>
      <c r="P39" s="20"/>
      <c r="Q39" s="87"/>
    </row>
    <row r="40" spans="1:17" ht="18">
      <c r="A40" s="61" t="s">
        <v>35</v>
      </c>
      <c r="B40" s="95">
        <v>33000</v>
      </c>
      <c r="C40" s="20"/>
      <c r="D40" s="116"/>
      <c r="E40" s="111"/>
      <c r="F40" s="111"/>
      <c r="G40" s="20"/>
      <c r="H40" s="8">
        <f t="shared" si="1"/>
        <v>33000</v>
      </c>
      <c r="I40" s="17"/>
      <c r="J40" s="93"/>
      <c r="K40" s="17"/>
      <c r="L40" s="102"/>
      <c r="M40" s="116"/>
      <c r="N40" s="111"/>
      <c r="O40" s="111"/>
      <c r="P40" s="20"/>
      <c r="Q40" s="87"/>
    </row>
    <row r="41" spans="1:17" ht="19" thickBot="1">
      <c r="A41" s="61" t="s">
        <v>36</v>
      </c>
      <c r="B41" s="128">
        <v>20000</v>
      </c>
      <c r="C41" s="20"/>
      <c r="D41" s="116"/>
      <c r="E41" s="111"/>
      <c r="F41" s="117"/>
      <c r="G41" s="20"/>
      <c r="H41" s="127">
        <f t="shared" si="1"/>
        <v>20000</v>
      </c>
      <c r="I41" s="17"/>
      <c r="J41" s="93"/>
      <c r="K41" s="17"/>
      <c r="L41" s="103"/>
      <c r="M41" s="116"/>
      <c r="N41" s="111"/>
      <c r="O41" s="117"/>
      <c r="P41" s="20"/>
      <c r="Q41" s="109"/>
    </row>
    <row r="42" spans="1:17" ht="19" thickBot="1">
      <c r="A42" s="61" t="s">
        <v>45</v>
      </c>
      <c r="B42" s="129">
        <f>SUM(B28:B41)</f>
        <v>240000</v>
      </c>
      <c r="C42" s="20"/>
      <c r="D42" s="116"/>
      <c r="E42" s="118"/>
      <c r="F42" s="119">
        <f>SUM(F28:F41)</f>
        <v>0</v>
      </c>
      <c r="G42" s="20"/>
      <c r="H42" s="25">
        <f t="shared" si="1"/>
        <v>240000</v>
      </c>
      <c r="I42" s="17"/>
      <c r="J42" s="92" t="s">
        <v>45</v>
      </c>
      <c r="K42" s="17"/>
      <c r="L42" s="96">
        <f>SUM(L28:L41)</f>
        <v>200000</v>
      </c>
      <c r="M42" s="116"/>
      <c r="N42" s="118"/>
      <c r="O42" s="119">
        <f>SUM(O28:O41)</f>
        <v>0</v>
      </c>
      <c r="P42" s="20"/>
      <c r="Q42" s="25">
        <f t="shared" si="0"/>
        <v>200000</v>
      </c>
    </row>
    <row r="43" spans="1:17" ht="19" thickBot="1">
      <c r="A43" s="61"/>
      <c r="B43" s="130"/>
      <c r="C43" s="22"/>
      <c r="D43" s="116"/>
      <c r="E43" s="111"/>
      <c r="F43" s="120"/>
      <c r="G43" s="22"/>
      <c r="H43" s="110"/>
      <c r="I43" s="23"/>
      <c r="J43" s="92"/>
      <c r="K43" s="104"/>
      <c r="L43" s="106"/>
      <c r="M43" s="116"/>
      <c r="N43" s="111"/>
      <c r="O43" s="126"/>
      <c r="P43" s="22"/>
      <c r="Q43" s="110"/>
    </row>
    <row r="44" spans="1:17" ht="19" thickBot="1">
      <c r="A44" s="61" t="s">
        <v>49</v>
      </c>
      <c r="B44" s="129">
        <f>+L42-B42</f>
        <v>-40000</v>
      </c>
      <c r="C44" s="22"/>
      <c r="D44" s="116"/>
      <c r="E44" s="111"/>
      <c r="F44" s="111"/>
      <c r="G44" s="22"/>
      <c r="H44" s="87"/>
      <c r="I44" s="23"/>
      <c r="J44" s="92"/>
      <c r="K44" s="104"/>
      <c r="L44" s="107"/>
      <c r="M44" s="116"/>
      <c r="N44" s="111"/>
      <c r="O44" s="124"/>
      <c r="P44" s="22"/>
      <c r="Q44" s="87"/>
    </row>
    <row r="45" spans="1:17" ht="19" thickBot="1">
      <c r="A45" s="61" t="s">
        <v>46</v>
      </c>
      <c r="B45" s="131">
        <f>+B44/L42</f>
        <v>-0.2</v>
      </c>
      <c r="C45" s="21"/>
      <c r="D45" s="116"/>
      <c r="E45" s="111"/>
      <c r="F45" s="111"/>
      <c r="G45" s="21"/>
      <c r="H45" s="87"/>
      <c r="I45" s="19"/>
      <c r="J45" s="94"/>
      <c r="K45" s="105"/>
      <c r="L45" s="107"/>
      <c r="M45" s="116"/>
      <c r="N45" s="111"/>
      <c r="O45" s="111"/>
      <c r="P45" s="21"/>
      <c r="Q45" s="87"/>
    </row>
    <row r="46" spans="1:17" ht="19" thickBot="1">
      <c r="A46" s="135"/>
      <c r="B46" s="89"/>
      <c r="D46" s="115"/>
      <c r="E46" s="115"/>
      <c r="F46" s="115"/>
      <c r="H46" s="86"/>
      <c r="J46" s="89"/>
      <c r="L46" s="108"/>
      <c r="M46" s="125"/>
      <c r="N46" s="125"/>
      <c r="O46" s="125"/>
      <c r="Q46" s="86"/>
    </row>
    <row r="47" spans="1:17" ht="19" thickBot="1">
      <c r="A47" s="61" t="s">
        <v>50</v>
      </c>
      <c r="B47" s="95"/>
      <c r="C47" s="22"/>
      <c r="D47" s="116"/>
      <c r="E47" s="118"/>
      <c r="F47" s="119">
        <f>+O42-F42</f>
        <v>0</v>
      </c>
      <c r="G47" s="22"/>
      <c r="H47" s="87"/>
      <c r="I47" s="23"/>
      <c r="J47" s="92"/>
      <c r="K47" s="104"/>
      <c r="L47" s="107"/>
      <c r="M47" s="116"/>
      <c r="N47" s="111"/>
      <c r="O47" s="124"/>
      <c r="P47" s="22"/>
      <c r="Q47" s="87"/>
    </row>
    <row r="48" spans="1:17" ht="19" thickBot="1">
      <c r="A48" s="61" t="s">
        <v>46</v>
      </c>
      <c r="B48" s="132"/>
      <c r="C48" s="21"/>
      <c r="D48" s="116"/>
      <c r="E48" s="118"/>
      <c r="F48" s="121" t="e">
        <f>+F47/O42</f>
        <v>#DIV/0!</v>
      </c>
      <c r="G48" s="21"/>
      <c r="H48" s="87"/>
      <c r="I48" s="19"/>
      <c r="J48" s="94"/>
      <c r="K48" s="105"/>
      <c r="L48" s="107"/>
      <c r="M48" s="116"/>
      <c r="N48" s="111"/>
      <c r="O48" s="111"/>
      <c r="P48" s="21"/>
      <c r="Q48" s="87"/>
    </row>
    <row r="49" spans="1:17" ht="19" thickBot="1">
      <c r="A49" s="135"/>
      <c r="B49" s="89"/>
      <c r="D49" s="115"/>
      <c r="E49" s="115"/>
      <c r="F49" s="115"/>
      <c r="H49" s="86"/>
      <c r="J49" s="89"/>
      <c r="L49" s="108"/>
      <c r="M49" s="125"/>
      <c r="N49" s="125"/>
      <c r="O49" s="125"/>
      <c r="Q49" s="86"/>
    </row>
    <row r="50" spans="1:17" ht="19" thickBot="1">
      <c r="A50" s="61" t="s">
        <v>51</v>
      </c>
      <c r="B50" s="95"/>
      <c r="C50" s="22"/>
      <c r="D50" s="116"/>
      <c r="E50" s="111"/>
      <c r="F50" s="111"/>
      <c r="G50" s="22"/>
      <c r="H50" s="25">
        <f>+Q42-H42</f>
        <v>-40000</v>
      </c>
      <c r="I50" s="23"/>
      <c r="J50" s="92"/>
      <c r="K50" s="104"/>
      <c r="L50" s="107"/>
      <c r="M50" s="116"/>
      <c r="N50" s="111"/>
      <c r="O50" s="124"/>
      <c r="P50" s="22"/>
      <c r="Q50" s="87"/>
    </row>
    <row r="51" spans="1:17" ht="19" thickBot="1">
      <c r="A51" s="136" t="s">
        <v>46</v>
      </c>
      <c r="B51" s="132"/>
      <c r="C51" s="21"/>
      <c r="D51" s="116"/>
      <c r="E51" s="111"/>
      <c r="F51" s="111"/>
      <c r="G51" s="21"/>
      <c r="H51" s="26">
        <f>+H50/Q42</f>
        <v>-0.2</v>
      </c>
      <c r="I51" s="19"/>
      <c r="J51" s="94"/>
      <c r="K51" s="105"/>
      <c r="L51" s="103"/>
      <c r="M51" s="116"/>
      <c r="N51" s="111"/>
      <c r="O51" s="111"/>
      <c r="P51" s="21"/>
      <c r="Q51" s="87"/>
    </row>
  </sheetData>
  <mergeCells count="5">
    <mergeCell ref="B22:Q22"/>
    <mergeCell ref="B24:H24"/>
    <mergeCell ref="J24:R24"/>
    <mergeCell ref="D25:F25"/>
    <mergeCell ref="M25:O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8"/>
  <sheetViews>
    <sheetView tabSelected="1" topLeftCell="C17" workbookViewId="0">
      <selection activeCell="F25" sqref="F25"/>
    </sheetView>
  </sheetViews>
  <sheetFormatPr baseColWidth="10" defaultRowHeight="14" x14ac:dyDescent="0"/>
  <cols>
    <col min="1" max="1" width="33.6640625" style="6" customWidth="1"/>
    <col min="2" max="2" width="22.1640625" style="6" customWidth="1"/>
    <col min="3" max="3" width="20.83203125" style="6" customWidth="1"/>
    <col min="4" max="4" width="24" style="6" customWidth="1"/>
    <col min="5" max="5" width="2.33203125" style="6" customWidth="1"/>
    <col min="6" max="6" width="22.5" style="6" customWidth="1"/>
    <col min="7" max="7" width="21.1640625" style="6" customWidth="1"/>
    <col min="8" max="8" width="19.5" style="6" customWidth="1"/>
    <col min="9" max="9" width="1.83203125" style="6" customWidth="1"/>
    <col min="10" max="10" width="20.5" style="6" customWidth="1"/>
    <col min="11" max="11" width="10" style="6" customWidth="1"/>
    <col min="12" max="12" width="20" style="6" customWidth="1"/>
    <col min="13" max="13" width="5.1640625" style="6" customWidth="1"/>
    <col min="14" max="14" width="2.5" style="6" customWidth="1"/>
    <col min="15" max="15" width="23.5" style="6" customWidth="1"/>
    <col min="16" max="16" width="21" style="6" customWidth="1"/>
    <col min="17" max="17" width="17.5" style="6" customWidth="1"/>
    <col min="18" max="18" width="2.83203125" style="6" customWidth="1"/>
    <col min="19" max="19" width="18.5" style="6" customWidth="1"/>
    <col min="20" max="20" width="8" style="6" customWidth="1"/>
    <col min="21" max="16384" width="10.83203125" style="6"/>
  </cols>
  <sheetData>
    <row r="4" spans="1:3" s="30" customFormat="1" ht="25">
      <c r="A4" s="29" t="s">
        <v>68</v>
      </c>
    </row>
    <row r="7" spans="1:3" s="4" customFormat="1" ht="18">
      <c r="A7" s="4" t="s">
        <v>131</v>
      </c>
    </row>
    <row r="8" spans="1:3" s="4" customFormat="1" ht="18">
      <c r="A8" s="4" t="s">
        <v>122</v>
      </c>
    </row>
    <row r="9" spans="1:3" s="4" customFormat="1" ht="18"/>
    <row r="10" spans="1:3" s="4" customFormat="1" ht="18">
      <c r="A10" s="3" t="s">
        <v>109</v>
      </c>
    </row>
    <row r="11" spans="1:3" s="4" customFormat="1" ht="18"/>
    <row r="12" spans="1:3" s="4" customFormat="1" ht="18">
      <c r="A12" s="10" t="s">
        <v>73</v>
      </c>
    </row>
    <row r="13" spans="1:3" s="4" customFormat="1" ht="18">
      <c r="A13" s="10" t="s">
        <v>123</v>
      </c>
      <c r="C13" s="4">
        <v>7000</v>
      </c>
    </row>
    <row r="14" spans="1:3" s="4" customFormat="1" ht="18">
      <c r="A14" s="10" t="s">
        <v>124</v>
      </c>
      <c r="C14" s="4">
        <v>4000</v>
      </c>
    </row>
    <row r="15" spans="1:3" s="4" customFormat="1" ht="18">
      <c r="A15" s="10" t="s">
        <v>74</v>
      </c>
      <c r="C15" s="4">
        <v>4000</v>
      </c>
    </row>
    <row r="16" spans="1:3" s="4" customFormat="1" ht="18">
      <c r="A16" s="10" t="s">
        <v>75</v>
      </c>
      <c r="C16" s="4">
        <v>1666.67</v>
      </c>
    </row>
    <row r="17" spans="1:20" s="4" customFormat="1" ht="18">
      <c r="A17" s="10" t="s">
        <v>77</v>
      </c>
      <c r="C17" s="4">
        <v>0</v>
      </c>
    </row>
    <row r="18" spans="1:20" s="4" customFormat="1" ht="18"/>
    <row r="19" spans="1:20" s="4" customFormat="1" ht="19" thickBot="1"/>
    <row r="20" spans="1:20" s="4" customFormat="1" ht="19" thickBot="1">
      <c r="B20" s="164" t="s">
        <v>80</v>
      </c>
      <c r="C20" s="165"/>
      <c r="D20" s="166"/>
      <c r="E20" s="31"/>
      <c r="F20" s="164" t="s">
        <v>84</v>
      </c>
      <c r="G20" s="165"/>
      <c r="H20" s="166"/>
      <c r="I20" s="32"/>
      <c r="J20" s="165" t="s">
        <v>110</v>
      </c>
      <c r="K20" s="165"/>
      <c r="L20" s="165"/>
      <c r="M20" s="64"/>
      <c r="N20" s="32"/>
      <c r="O20" s="165" t="s">
        <v>88</v>
      </c>
      <c r="P20" s="165"/>
      <c r="Q20" s="166"/>
      <c r="R20" s="67"/>
      <c r="S20" s="164" t="s">
        <v>90</v>
      </c>
      <c r="T20" s="166"/>
    </row>
    <row r="21" spans="1:20" s="4" customFormat="1" ht="19" thickBot="1">
      <c r="B21" s="33" t="s">
        <v>81</v>
      </c>
      <c r="C21" s="34" t="s">
        <v>82</v>
      </c>
      <c r="D21" s="35" t="s">
        <v>83</v>
      </c>
      <c r="E21" s="36"/>
      <c r="F21" s="35" t="s">
        <v>85</v>
      </c>
      <c r="G21" s="37" t="s">
        <v>86</v>
      </c>
      <c r="H21" s="37" t="s">
        <v>83</v>
      </c>
      <c r="I21" s="36"/>
      <c r="J21" s="38" t="s">
        <v>86</v>
      </c>
      <c r="K21" s="62"/>
      <c r="L21" s="39" t="s">
        <v>83</v>
      </c>
      <c r="M21" s="72" t="s">
        <v>104</v>
      </c>
      <c r="N21" s="65"/>
      <c r="O21" s="40" t="s">
        <v>87</v>
      </c>
      <c r="P21" s="34" t="s">
        <v>99</v>
      </c>
      <c r="Q21" s="35" t="s">
        <v>89</v>
      </c>
      <c r="R21" s="36"/>
      <c r="S21" s="68" t="s">
        <v>91</v>
      </c>
      <c r="T21" s="72" t="s">
        <v>104</v>
      </c>
    </row>
    <row r="22" spans="1:20" s="47" customFormat="1" ht="16" thickBot="1">
      <c r="A22" s="41"/>
      <c r="B22" s="42" t="s">
        <v>92</v>
      </c>
      <c r="C22" s="42" t="s">
        <v>93</v>
      </c>
      <c r="D22" s="42" t="s">
        <v>94</v>
      </c>
      <c r="E22" s="36"/>
      <c r="F22" s="42" t="s">
        <v>95</v>
      </c>
      <c r="G22" s="42" t="s">
        <v>96</v>
      </c>
      <c r="H22" s="43" t="s">
        <v>97</v>
      </c>
      <c r="I22" s="36"/>
      <c r="J22" s="44" t="s">
        <v>111</v>
      </c>
      <c r="K22" s="72" t="s">
        <v>104</v>
      </c>
      <c r="L22" s="45" t="s">
        <v>112</v>
      </c>
      <c r="M22" s="72" t="s">
        <v>104</v>
      </c>
      <c r="N22" s="65"/>
      <c r="O22" s="46" t="s">
        <v>98</v>
      </c>
      <c r="P22" s="42" t="s">
        <v>100</v>
      </c>
      <c r="Q22" s="42" t="s">
        <v>101</v>
      </c>
      <c r="R22" s="36"/>
      <c r="S22" s="70" t="s">
        <v>102</v>
      </c>
      <c r="T22" s="71"/>
    </row>
    <row r="23" spans="1:20" ht="21" thickBot="1">
      <c r="A23" s="48" t="s">
        <v>79</v>
      </c>
      <c r="B23" s="73">
        <v>600000</v>
      </c>
      <c r="C23" s="74">
        <f>+B23/12</f>
        <v>50000</v>
      </c>
      <c r="D23" s="75">
        <f>+C23*7</f>
        <v>350000</v>
      </c>
      <c r="E23" s="16"/>
      <c r="F23" s="49">
        <f>'Corrigé 2 résultat'!L42</f>
        <v>200000</v>
      </c>
      <c r="G23" s="150">
        <f>'Corrigé 2 résultat'!O42</f>
        <v>130000</v>
      </c>
      <c r="H23" s="51">
        <f>+F23+G23</f>
        <v>330000</v>
      </c>
      <c r="I23" s="16"/>
      <c r="J23" s="52">
        <f>+G23-C23</f>
        <v>80000</v>
      </c>
      <c r="K23" s="81">
        <f>+J23/C23</f>
        <v>1.6</v>
      </c>
      <c r="L23" s="53">
        <f>+H23-D23</f>
        <v>-20000</v>
      </c>
      <c r="M23" s="79">
        <f>+L23/D23</f>
        <v>-5.7142857142857141E-2</v>
      </c>
      <c r="N23" s="66"/>
      <c r="O23" s="52">
        <f>+H23</f>
        <v>330000</v>
      </c>
      <c r="P23" s="54">
        <f>5*C23</f>
        <v>250000</v>
      </c>
      <c r="Q23" s="55">
        <f>+O23+P23</f>
        <v>580000</v>
      </c>
      <c r="R23" s="69"/>
      <c r="S23" s="18">
        <f>+Q23-B23</f>
        <v>-20000</v>
      </c>
      <c r="T23" s="79">
        <f>+S23/B23</f>
        <v>-3.3333333333333333E-2</v>
      </c>
    </row>
    <row r="24" spans="1:20" ht="21" thickBot="1">
      <c r="A24" s="56" t="s">
        <v>32</v>
      </c>
      <c r="B24" s="73">
        <v>400000</v>
      </c>
      <c r="C24" s="74">
        <f t="shared" ref="C24:C31" si="0">+B24/12</f>
        <v>33333.333333333336</v>
      </c>
      <c r="D24" s="75">
        <f t="shared" ref="D24:D31" si="1">+C24*7</f>
        <v>233333.33333333334</v>
      </c>
      <c r="E24" s="16"/>
      <c r="F24" s="57">
        <f>'Corrigé 2 résultat'!B42</f>
        <v>240000</v>
      </c>
      <c r="G24" s="151">
        <f>'Corrigé 2 résultat'!F42</f>
        <v>88543.19807228916</v>
      </c>
      <c r="H24" s="51">
        <f t="shared" ref="H24:H31" si="2">+F24+G24</f>
        <v>328543.19807228917</v>
      </c>
      <c r="I24" s="16"/>
      <c r="J24" s="52">
        <f t="shared" ref="J24:J31" si="3">+G24-C24</f>
        <v>55209.864738955825</v>
      </c>
      <c r="K24" s="81">
        <f t="shared" ref="K24:K31" si="4">+J24/C24</f>
        <v>1.6562959421686747</v>
      </c>
      <c r="L24" s="53">
        <f t="shared" ref="L24:L31" si="5">+H24-D24</f>
        <v>95209.864738955832</v>
      </c>
      <c r="M24" s="79">
        <f t="shared" ref="M24:M31" si="6">+L24/D24</f>
        <v>0.40804227745266786</v>
      </c>
      <c r="N24" s="66"/>
      <c r="O24" s="52">
        <f t="shared" ref="O24:O31" si="7">+H24</f>
        <v>328543.19807228917</v>
      </c>
      <c r="P24" s="54">
        <f t="shared" ref="P24:P31" si="8">5*C24</f>
        <v>166666.66666666669</v>
      </c>
      <c r="Q24" s="55">
        <f t="shared" ref="Q24:Q31" si="9">+O24+P24</f>
        <v>495209.86473895586</v>
      </c>
      <c r="R24" s="69"/>
      <c r="S24" s="18">
        <f t="shared" ref="S24:S31" si="10">+Q24-B24</f>
        <v>95209.864738955861</v>
      </c>
      <c r="T24" s="79">
        <f t="shared" ref="T24:T31" si="11">+S24/B24</f>
        <v>0.23802466184738966</v>
      </c>
    </row>
    <row r="25" spans="1:20" ht="20">
      <c r="A25" s="56" t="s">
        <v>103</v>
      </c>
      <c r="B25" s="73">
        <f>+B23-B24</f>
        <v>200000</v>
      </c>
      <c r="C25" s="74">
        <f t="shared" si="0"/>
        <v>16666.666666666668</v>
      </c>
      <c r="D25" s="75">
        <f t="shared" si="1"/>
        <v>116666.66666666667</v>
      </c>
      <c r="E25" s="16"/>
      <c r="F25" s="57">
        <f>+F23-F24</f>
        <v>-40000</v>
      </c>
      <c r="G25" s="152">
        <f>+G23-G24</f>
        <v>41456.80192771084</v>
      </c>
      <c r="H25" s="51">
        <f t="shared" si="2"/>
        <v>1456.8019277108397</v>
      </c>
      <c r="I25" s="16"/>
      <c r="J25" s="52">
        <f t="shared" si="3"/>
        <v>24790.135261044172</v>
      </c>
      <c r="K25" s="81">
        <f t="shared" si="4"/>
        <v>1.4874081156626502</v>
      </c>
      <c r="L25" s="53">
        <f t="shared" si="5"/>
        <v>-115209.86473895583</v>
      </c>
      <c r="M25" s="79">
        <f t="shared" si="6"/>
        <v>-0.98751312633390709</v>
      </c>
      <c r="N25" s="66"/>
      <c r="O25" s="52">
        <f t="shared" si="7"/>
        <v>1456.8019277108397</v>
      </c>
      <c r="P25" s="54">
        <f t="shared" si="8"/>
        <v>83333.333333333343</v>
      </c>
      <c r="Q25" s="55">
        <f t="shared" si="9"/>
        <v>84790.135261044183</v>
      </c>
      <c r="R25" s="69"/>
      <c r="S25" s="18">
        <f t="shared" si="10"/>
        <v>-115209.86473895582</v>
      </c>
      <c r="T25" s="79">
        <f t="shared" si="11"/>
        <v>-0.57604932369477913</v>
      </c>
    </row>
    <row r="26" spans="1:20" ht="21" thickBot="1">
      <c r="A26" s="56" t="s">
        <v>107</v>
      </c>
      <c r="B26" s="76">
        <f>+B25/B23</f>
        <v>0.33333333333333331</v>
      </c>
      <c r="C26" s="76">
        <f t="shared" ref="C26:L26" si="12">+C25/C23</f>
        <v>0.33333333333333337</v>
      </c>
      <c r="D26" s="76">
        <f t="shared" si="12"/>
        <v>0.33333333333333337</v>
      </c>
      <c r="E26" s="16"/>
      <c r="F26" s="76">
        <f t="shared" si="12"/>
        <v>-0.2</v>
      </c>
      <c r="G26" s="153">
        <f t="shared" si="12"/>
        <v>0.31889847636700647</v>
      </c>
      <c r="H26" s="76">
        <f t="shared" si="12"/>
        <v>4.4145512960934536E-3</v>
      </c>
      <c r="I26" s="16"/>
      <c r="J26" s="76">
        <f t="shared" si="12"/>
        <v>0.30987669076305213</v>
      </c>
      <c r="K26" s="63"/>
      <c r="L26" s="76">
        <f t="shared" si="12"/>
        <v>5.7604932369477915</v>
      </c>
      <c r="M26" s="79"/>
      <c r="N26" s="66"/>
      <c r="O26" s="76">
        <f t="shared" ref="O26:T26" si="13">+O25/O23</f>
        <v>4.4145512960934536E-3</v>
      </c>
      <c r="P26" s="76">
        <f t="shared" si="13"/>
        <v>0.33333333333333337</v>
      </c>
      <c r="Q26" s="76">
        <f t="shared" si="13"/>
        <v>0.14618988838111066</v>
      </c>
      <c r="R26" s="69"/>
      <c r="S26" s="76">
        <f t="shared" si="13"/>
        <v>5.7604932369477906</v>
      </c>
      <c r="T26" s="76">
        <f t="shared" si="13"/>
        <v>17.281479710843374</v>
      </c>
    </row>
    <row r="27" spans="1:20" ht="21" thickBot="1">
      <c r="A27" s="60" t="s">
        <v>76</v>
      </c>
      <c r="B27" s="73">
        <v>50000</v>
      </c>
      <c r="C27" s="74">
        <f t="shared" si="0"/>
        <v>4166.666666666667</v>
      </c>
      <c r="D27" s="75">
        <f t="shared" si="1"/>
        <v>29166.666666666668</v>
      </c>
      <c r="E27" s="16"/>
      <c r="F27" s="57">
        <v>25000</v>
      </c>
      <c r="G27" s="151">
        <v>7000</v>
      </c>
      <c r="H27" s="51">
        <f t="shared" si="2"/>
        <v>32000</v>
      </c>
      <c r="I27" s="16"/>
      <c r="J27" s="52">
        <f t="shared" si="3"/>
        <v>2833.333333333333</v>
      </c>
      <c r="K27" s="81">
        <f t="shared" si="4"/>
        <v>0.67999999999999983</v>
      </c>
      <c r="L27" s="53">
        <f t="shared" si="5"/>
        <v>2833.3333333333321</v>
      </c>
      <c r="M27" s="79">
        <f t="shared" si="6"/>
        <v>9.71428571428571E-2</v>
      </c>
      <c r="N27" s="66"/>
      <c r="O27" s="52">
        <f t="shared" si="7"/>
        <v>32000</v>
      </c>
      <c r="P27" s="54">
        <f t="shared" si="8"/>
        <v>20833.333333333336</v>
      </c>
      <c r="Q27" s="55">
        <f t="shared" si="9"/>
        <v>52833.333333333336</v>
      </c>
      <c r="R27" s="69"/>
      <c r="S27" s="18">
        <f t="shared" si="10"/>
        <v>2833.3333333333358</v>
      </c>
      <c r="T27" s="79">
        <f t="shared" si="11"/>
        <v>5.6666666666666712E-2</v>
      </c>
    </row>
    <row r="28" spans="1:20" ht="21" thickBot="1">
      <c r="A28" s="60" t="s">
        <v>108</v>
      </c>
      <c r="B28" s="73">
        <v>30000</v>
      </c>
      <c r="C28" s="74">
        <f t="shared" si="0"/>
        <v>2500</v>
      </c>
      <c r="D28" s="75">
        <f t="shared" si="1"/>
        <v>17500</v>
      </c>
      <c r="E28" s="16"/>
      <c r="F28" s="57">
        <v>15000</v>
      </c>
      <c r="G28" s="151">
        <v>4000</v>
      </c>
      <c r="H28" s="51">
        <f t="shared" si="2"/>
        <v>19000</v>
      </c>
      <c r="I28" s="16"/>
      <c r="J28" s="52">
        <f t="shared" si="3"/>
        <v>1500</v>
      </c>
      <c r="K28" s="81">
        <f t="shared" si="4"/>
        <v>0.6</v>
      </c>
      <c r="L28" s="53">
        <f t="shared" si="5"/>
        <v>1500</v>
      </c>
      <c r="M28" s="79">
        <f t="shared" si="6"/>
        <v>8.5714285714285715E-2</v>
      </c>
      <c r="N28" s="66"/>
      <c r="O28" s="52">
        <f t="shared" si="7"/>
        <v>19000</v>
      </c>
      <c r="P28" s="54">
        <f t="shared" si="8"/>
        <v>12500</v>
      </c>
      <c r="Q28" s="55">
        <f t="shared" si="9"/>
        <v>31500</v>
      </c>
      <c r="R28" s="69"/>
      <c r="S28" s="18">
        <f t="shared" si="10"/>
        <v>1500</v>
      </c>
      <c r="T28" s="79">
        <f t="shared" si="11"/>
        <v>0.05</v>
      </c>
    </row>
    <row r="29" spans="1:20" ht="21" thickBot="1">
      <c r="A29" s="60" t="s">
        <v>74</v>
      </c>
      <c r="B29" s="73">
        <v>60000</v>
      </c>
      <c r="C29" s="74">
        <f t="shared" si="0"/>
        <v>5000</v>
      </c>
      <c r="D29" s="75">
        <f t="shared" si="1"/>
        <v>35000</v>
      </c>
      <c r="E29" s="16"/>
      <c r="F29" s="57">
        <v>30000</v>
      </c>
      <c r="G29" s="151">
        <v>4000</v>
      </c>
      <c r="H29" s="51">
        <f t="shared" si="2"/>
        <v>34000</v>
      </c>
      <c r="I29" s="16"/>
      <c r="J29" s="52">
        <f t="shared" si="3"/>
        <v>-1000</v>
      </c>
      <c r="K29" s="81">
        <f t="shared" si="4"/>
        <v>-0.2</v>
      </c>
      <c r="L29" s="53">
        <f t="shared" si="5"/>
        <v>-1000</v>
      </c>
      <c r="M29" s="79">
        <f t="shared" si="6"/>
        <v>-2.8571428571428571E-2</v>
      </c>
      <c r="N29" s="66"/>
      <c r="O29" s="52">
        <f t="shared" si="7"/>
        <v>34000</v>
      </c>
      <c r="P29" s="54">
        <f t="shared" si="8"/>
        <v>25000</v>
      </c>
      <c r="Q29" s="55">
        <f t="shared" si="9"/>
        <v>59000</v>
      </c>
      <c r="R29" s="69"/>
      <c r="S29" s="18">
        <f t="shared" si="10"/>
        <v>-1000</v>
      </c>
      <c r="T29" s="79">
        <f t="shared" si="11"/>
        <v>-1.6666666666666666E-2</v>
      </c>
    </row>
    <row r="30" spans="1:20" ht="21" thickBot="1">
      <c r="A30" s="60" t="s">
        <v>75</v>
      </c>
      <c r="B30" s="73">
        <v>20000</v>
      </c>
      <c r="C30" s="74">
        <f t="shared" si="0"/>
        <v>1666.6666666666667</v>
      </c>
      <c r="D30" s="75">
        <f t="shared" si="1"/>
        <v>11666.666666666668</v>
      </c>
      <c r="E30" s="16"/>
      <c r="F30" s="57">
        <v>10000</v>
      </c>
      <c r="G30" s="151">
        <v>1666.67</v>
      </c>
      <c r="H30" s="51">
        <f t="shared" si="2"/>
        <v>11666.67</v>
      </c>
      <c r="I30" s="16"/>
      <c r="J30" s="52">
        <f t="shared" si="3"/>
        <v>3.3333333333303017E-3</v>
      </c>
      <c r="K30" s="81">
        <f t="shared" si="4"/>
        <v>1.9999999999981809E-6</v>
      </c>
      <c r="L30" s="53">
        <f t="shared" si="5"/>
        <v>3.3333333321934333E-3</v>
      </c>
      <c r="M30" s="79">
        <f t="shared" si="6"/>
        <v>2.8571428561657997E-7</v>
      </c>
      <c r="N30" s="66"/>
      <c r="O30" s="52">
        <f t="shared" si="7"/>
        <v>11666.67</v>
      </c>
      <c r="P30" s="54">
        <f t="shared" si="8"/>
        <v>8333.3333333333339</v>
      </c>
      <c r="Q30" s="55">
        <f t="shared" si="9"/>
        <v>20000.003333333334</v>
      </c>
      <c r="R30" s="69"/>
      <c r="S30" s="18">
        <f t="shared" si="10"/>
        <v>3.3333333340124227E-3</v>
      </c>
      <c r="T30" s="79">
        <f t="shared" si="11"/>
        <v>1.6666666670062113E-7</v>
      </c>
    </row>
    <row r="31" spans="1:20" ht="20">
      <c r="A31" s="60" t="s">
        <v>77</v>
      </c>
      <c r="B31" s="73">
        <v>3000</v>
      </c>
      <c r="C31" s="74">
        <f t="shared" si="0"/>
        <v>250</v>
      </c>
      <c r="D31" s="75">
        <f t="shared" si="1"/>
        <v>1750</v>
      </c>
      <c r="E31" s="16"/>
      <c r="F31" s="57">
        <v>1500</v>
      </c>
      <c r="G31" s="151">
        <v>0</v>
      </c>
      <c r="H31" s="51">
        <f t="shared" si="2"/>
        <v>1500</v>
      </c>
      <c r="I31" s="16"/>
      <c r="J31" s="52">
        <f t="shared" si="3"/>
        <v>-250</v>
      </c>
      <c r="K31" s="81">
        <f t="shared" si="4"/>
        <v>-1</v>
      </c>
      <c r="L31" s="53">
        <f t="shared" si="5"/>
        <v>-250</v>
      </c>
      <c r="M31" s="79">
        <f t="shared" si="6"/>
        <v>-0.14285714285714285</v>
      </c>
      <c r="N31" s="66"/>
      <c r="O31" s="52">
        <f t="shared" si="7"/>
        <v>1500</v>
      </c>
      <c r="P31" s="54">
        <f t="shared" si="8"/>
        <v>1250</v>
      </c>
      <c r="Q31" s="55">
        <f t="shared" si="9"/>
        <v>2750</v>
      </c>
      <c r="R31" s="69"/>
      <c r="S31" s="18">
        <f t="shared" si="10"/>
        <v>-250</v>
      </c>
      <c r="T31" s="79">
        <f t="shared" si="11"/>
        <v>-8.3333333333333329E-2</v>
      </c>
    </row>
    <row r="32" spans="1:20" ht="20">
      <c r="A32" s="61"/>
      <c r="B32" s="57"/>
      <c r="C32" s="18"/>
      <c r="D32" s="51"/>
      <c r="E32" s="16"/>
      <c r="F32" s="57"/>
      <c r="G32" s="151"/>
      <c r="H32" s="51"/>
      <c r="I32" s="16"/>
      <c r="J32" s="58"/>
      <c r="K32" s="63"/>
      <c r="L32" s="59"/>
      <c r="M32" s="18"/>
      <c r="N32" s="66"/>
      <c r="O32" s="58"/>
      <c r="P32" s="18"/>
      <c r="Q32" s="51"/>
      <c r="R32" s="69"/>
      <c r="S32" s="18"/>
      <c r="T32" s="18"/>
    </row>
    <row r="33" spans="1:20" ht="19" thickBot="1">
      <c r="A33" s="61"/>
      <c r="B33" s="57"/>
      <c r="C33" s="18"/>
      <c r="D33" s="51"/>
      <c r="E33" s="16"/>
      <c r="F33" s="57"/>
      <c r="G33" s="18"/>
      <c r="H33" s="51"/>
      <c r="I33" s="16"/>
      <c r="J33" s="58"/>
      <c r="K33" s="63"/>
      <c r="L33" s="59"/>
      <c r="M33" s="18"/>
      <c r="N33" s="66"/>
      <c r="O33" s="58"/>
      <c r="P33" s="18"/>
      <c r="Q33" s="51"/>
      <c r="R33" s="69"/>
      <c r="S33" s="18"/>
      <c r="T33" s="18"/>
    </row>
    <row r="34" spans="1:20" ht="28">
      <c r="A34" s="77" t="s">
        <v>105</v>
      </c>
      <c r="B34" s="148">
        <f>+B25+B27+B28-B29-B30-B31</f>
        <v>197000</v>
      </c>
      <c r="C34" s="148">
        <f t="shared" ref="C34:L34" si="14">+C25+C27+C28-C29-C30-C31</f>
        <v>16416.666666666668</v>
      </c>
      <c r="D34" s="148">
        <f t="shared" si="14"/>
        <v>114916.66666666667</v>
      </c>
      <c r="E34" s="16"/>
      <c r="F34" s="147">
        <f t="shared" si="14"/>
        <v>-41500</v>
      </c>
      <c r="G34" s="147">
        <f t="shared" si="14"/>
        <v>46790.131927710841</v>
      </c>
      <c r="H34" s="147">
        <f t="shared" si="14"/>
        <v>5290.1319277108396</v>
      </c>
      <c r="I34" s="16"/>
      <c r="J34" s="149">
        <f t="shared" si="14"/>
        <v>30373.46526104417</v>
      </c>
      <c r="K34" s="154">
        <f t="shared" ref="K34" si="15">+J34/C34</f>
        <v>1.8501603204696955</v>
      </c>
      <c r="L34" s="149">
        <f t="shared" si="14"/>
        <v>-109626.53473895583</v>
      </c>
      <c r="M34" s="79">
        <f t="shared" ref="M34" si="16">+L34/D34</f>
        <v>-0.95396549446517032</v>
      </c>
      <c r="N34" s="66"/>
      <c r="O34" s="149">
        <f t="shared" ref="O34:S34" si="17">+O25+O27+O28-O29-O30-O31</f>
        <v>5290.1319277108396</v>
      </c>
      <c r="P34" s="149">
        <f t="shared" si="17"/>
        <v>82083.333333333358</v>
      </c>
      <c r="Q34" s="149">
        <f t="shared" si="17"/>
        <v>87373.465261044184</v>
      </c>
      <c r="R34" s="69"/>
      <c r="S34" s="149">
        <f t="shared" si="17"/>
        <v>-109626.53473895582</v>
      </c>
      <c r="T34" s="79">
        <f t="shared" ref="T34" si="18">+S34/B34</f>
        <v>-0.55647987177134928</v>
      </c>
    </row>
    <row r="35" spans="1:20" ht="18">
      <c r="A35" s="8" t="s">
        <v>106</v>
      </c>
      <c r="B35" s="80">
        <f>+B34/B23</f>
        <v>0.32833333333333331</v>
      </c>
      <c r="C35" s="80">
        <f>+C34/C23</f>
        <v>0.32833333333333337</v>
      </c>
      <c r="D35" s="80">
        <f>+D34/D23</f>
        <v>0.32833333333333337</v>
      </c>
      <c r="E35" s="18"/>
      <c r="F35" s="80">
        <f>+F34/F23</f>
        <v>-0.20749999999999999</v>
      </c>
      <c r="G35" s="80">
        <f>+G34/G23</f>
        <v>0.35992409175162188</v>
      </c>
      <c r="H35" s="80">
        <f>+H34/H23</f>
        <v>1.6030702811244968E-2</v>
      </c>
      <c r="I35" s="18"/>
      <c r="J35" s="80">
        <f>+J34/J23</f>
        <v>0.3796683157630521</v>
      </c>
      <c r="K35" s="18"/>
      <c r="L35" s="80">
        <f>+L34/L23</f>
        <v>5.4813267369477918</v>
      </c>
      <c r="M35" s="18"/>
      <c r="N35" s="18"/>
      <c r="O35" s="80">
        <f>+O34/O23</f>
        <v>1.6030702811244968E-2</v>
      </c>
      <c r="P35" s="80">
        <f>+P34/P23</f>
        <v>0.32833333333333342</v>
      </c>
      <c r="Q35" s="80">
        <f>+Q34/Q23</f>
        <v>0.15064390562248997</v>
      </c>
      <c r="R35" s="18"/>
      <c r="S35" s="80">
        <f>+S34/S23</f>
        <v>5.4813267369477909</v>
      </c>
      <c r="T35" s="18"/>
    </row>
    <row r="36" spans="1:20" ht="18">
      <c r="A36" s="10"/>
    </row>
    <row r="37" spans="1:20" ht="18">
      <c r="A37" s="10"/>
    </row>
    <row r="38" spans="1:20" ht="18">
      <c r="A38" s="10"/>
    </row>
  </sheetData>
  <mergeCells count="5">
    <mergeCell ref="B20:D20"/>
    <mergeCell ref="F20:H20"/>
    <mergeCell ref="J20:L20"/>
    <mergeCell ref="O20:Q20"/>
    <mergeCell ref="S20:T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9" workbookViewId="0">
      <selection activeCell="D71" sqref="D71"/>
    </sheetView>
  </sheetViews>
  <sheetFormatPr baseColWidth="10" defaultRowHeight="14" x14ac:dyDescent="0"/>
  <cols>
    <col min="1" max="1" width="93.83203125" style="6" customWidth="1"/>
    <col min="2" max="2" width="22.1640625" style="6" customWidth="1"/>
    <col min="3" max="16384" width="10.83203125" style="6"/>
  </cols>
  <sheetData>
    <row r="1" spans="1:5" s="27" customFormat="1" ht="25">
      <c r="A1" s="28" t="s">
        <v>70</v>
      </c>
    </row>
    <row r="2" spans="1:5" s="1" customFormat="1" ht="18">
      <c r="A2" s="2"/>
    </row>
    <row r="3" spans="1:5" s="1" customFormat="1" ht="18">
      <c r="A3" s="1" t="s">
        <v>2</v>
      </c>
    </row>
    <row r="4" spans="1:5" s="1" customFormat="1" ht="18"/>
    <row r="5" spans="1:5" s="4" customFormat="1" ht="18">
      <c r="A5" s="3" t="s">
        <v>1</v>
      </c>
      <c r="B5" s="3"/>
      <c r="C5" s="3"/>
      <c r="D5" s="3"/>
      <c r="E5" s="3"/>
    </row>
    <row r="6" spans="1:5" s="4" customFormat="1" ht="18">
      <c r="A6" s="3"/>
      <c r="B6" s="3"/>
      <c r="C6" s="3"/>
      <c r="D6" s="3"/>
      <c r="E6" s="3"/>
    </row>
    <row r="7" spans="1:5" s="4" customFormat="1" ht="18">
      <c r="A7" s="8" t="s">
        <v>5</v>
      </c>
      <c r="B7" s="5">
        <v>10</v>
      </c>
    </row>
    <row r="8" spans="1:5" s="4" customFormat="1" ht="18">
      <c r="A8" s="8" t="s">
        <v>7</v>
      </c>
      <c r="B8" s="5">
        <f>1580*10</f>
        <v>15800</v>
      </c>
    </row>
    <row r="9" spans="1:5" s="4" customFormat="1" ht="18">
      <c r="A9" s="8" t="s">
        <v>6</v>
      </c>
      <c r="B9" s="5">
        <f>1500*10</f>
        <v>15000</v>
      </c>
    </row>
    <row r="10" spans="1:5" s="4" customFormat="1" ht="18">
      <c r="A10" s="8" t="s">
        <v>9</v>
      </c>
      <c r="B10" s="5">
        <f>+B8*13</f>
        <v>205400</v>
      </c>
    </row>
    <row r="11" spans="1:5" s="4" customFormat="1" ht="18">
      <c r="A11" s="8" t="s">
        <v>8</v>
      </c>
      <c r="B11" s="5">
        <f>+B10*0.2</f>
        <v>41080</v>
      </c>
    </row>
    <row r="12" spans="1:5" s="4" customFormat="1" ht="18">
      <c r="A12" s="8" t="s">
        <v>3</v>
      </c>
      <c r="B12" s="5">
        <v>40000</v>
      </c>
    </row>
    <row r="13" spans="1:5" s="4" customFormat="1" ht="18">
      <c r="A13" s="8" t="s">
        <v>4</v>
      </c>
      <c r="B13" s="5">
        <v>30000</v>
      </c>
    </row>
    <row r="14" spans="1:5" s="4" customFormat="1" ht="18">
      <c r="A14" s="8" t="s">
        <v>10</v>
      </c>
      <c r="B14" s="5">
        <f>+(B10/12)*1.2</f>
        <v>20540</v>
      </c>
    </row>
    <row r="15" spans="1:5" s="4" customFormat="1" ht="18">
      <c r="A15" s="8" t="s">
        <v>13</v>
      </c>
      <c r="B15" s="5">
        <f>+B10*0.1</f>
        <v>20540</v>
      </c>
    </row>
    <row r="16" spans="1:5" s="4" customFormat="1" ht="18">
      <c r="A16" s="9"/>
      <c r="B16" s="10"/>
    </row>
    <row r="17" spans="1:2" ht="18">
      <c r="A17" s="8" t="s">
        <v>12</v>
      </c>
      <c r="B17" s="5">
        <f>SUM(B10:B15)</f>
        <v>357560</v>
      </c>
    </row>
    <row r="18" spans="1:2" ht="18">
      <c r="A18" s="8" t="s">
        <v>11</v>
      </c>
      <c r="B18" s="5">
        <f>+B17/B9</f>
        <v>23.837333333333333</v>
      </c>
    </row>
    <row r="19" spans="1:2" ht="36">
      <c r="A19" s="82" t="s">
        <v>118</v>
      </c>
      <c r="B19" s="5">
        <f>+B18*1.2</f>
        <v>28.604800000000001</v>
      </c>
    </row>
    <row r="20" spans="1:2" customFormat="1" ht="18">
      <c r="A20" s="83" t="s">
        <v>117</v>
      </c>
      <c r="B20" s="8">
        <f>+B19*7</f>
        <v>200.2336</v>
      </c>
    </row>
    <row r="23" spans="1:2" customFormat="1" ht="18">
      <c r="A23" s="3" t="s">
        <v>16</v>
      </c>
      <c r="B23" s="3"/>
    </row>
    <row r="24" spans="1:2" customFormat="1" ht="18">
      <c r="A24" s="3"/>
      <c r="B24" s="3"/>
    </row>
    <row r="25" spans="1:2" customFormat="1" ht="25">
      <c r="A25" s="5" t="s">
        <v>5</v>
      </c>
      <c r="B25" s="139">
        <v>2</v>
      </c>
    </row>
    <row r="26" spans="1:2" customFormat="1" ht="25">
      <c r="A26" s="5" t="s">
        <v>7</v>
      </c>
      <c r="B26" s="139">
        <f>+B25*1600</f>
        <v>3200</v>
      </c>
    </row>
    <row r="27" spans="1:2" customFormat="1" ht="25">
      <c r="A27" s="5" t="s">
        <v>6</v>
      </c>
      <c r="B27" s="139">
        <f>1660*2</f>
        <v>3320</v>
      </c>
    </row>
    <row r="28" spans="1:2" customFormat="1" ht="25">
      <c r="A28" s="5" t="s">
        <v>9</v>
      </c>
      <c r="B28" s="139">
        <f>+B26*21</f>
        <v>67200</v>
      </c>
    </row>
    <row r="29" spans="1:2" customFormat="1" ht="25">
      <c r="A29" s="5" t="s">
        <v>8</v>
      </c>
      <c r="B29" s="139">
        <f>+B28*0.2</f>
        <v>13440</v>
      </c>
    </row>
    <row r="30" spans="1:2" customFormat="1" ht="25">
      <c r="A30" s="5" t="s">
        <v>3</v>
      </c>
      <c r="B30" s="139">
        <v>10000</v>
      </c>
    </row>
    <row r="31" spans="1:2" customFormat="1" ht="25">
      <c r="A31" s="5" t="s">
        <v>4</v>
      </c>
      <c r="B31" s="139">
        <v>8000</v>
      </c>
    </row>
    <row r="32" spans="1:2" customFormat="1" ht="25">
      <c r="A32" s="5" t="s">
        <v>10</v>
      </c>
      <c r="B32" s="139">
        <f>+(B28/12)*1.2</f>
        <v>6720</v>
      </c>
    </row>
    <row r="33" spans="1:5" customFormat="1" ht="25">
      <c r="A33" s="8" t="s">
        <v>13</v>
      </c>
      <c r="B33" s="139">
        <f>+B28*0.1</f>
        <v>6720</v>
      </c>
    </row>
    <row r="34" spans="1:5" customFormat="1" ht="25">
      <c r="A34" s="7"/>
      <c r="B34" s="29"/>
    </row>
    <row r="35" spans="1:5" customFormat="1" ht="25">
      <c r="A35" s="5" t="s">
        <v>12</v>
      </c>
      <c r="B35" s="139">
        <f>SUM(B28:B33)</f>
        <v>112080</v>
      </c>
    </row>
    <row r="36" spans="1:5" customFormat="1" ht="25">
      <c r="A36" s="5" t="s">
        <v>11</v>
      </c>
      <c r="B36" s="139">
        <f>+B35/B27</f>
        <v>33.75903614457831</v>
      </c>
    </row>
    <row r="37" spans="1:5" customFormat="1" ht="36">
      <c r="A37" s="82" t="s">
        <v>118</v>
      </c>
      <c r="B37" s="139">
        <f>+B36*1.2</f>
        <v>40.510843373493969</v>
      </c>
    </row>
    <row r="38" spans="1:5" customFormat="1" ht="25">
      <c r="A38" s="83" t="s">
        <v>117</v>
      </c>
      <c r="B38" s="140">
        <f>+B37*7</f>
        <v>283.57590361445779</v>
      </c>
    </row>
    <row r="41" spans="1:5" s="1" customFormat="1" ht="18">
      <c r="A41" s="2" t="s">
        <v>17</v>
      </c>
    </row>
    <row r="42" spans="1:5" s="1" customFormat="1" ht="18">
      <c r="A42" s="2"/>
    </row>
    <row r="43" spans="1:5" s="4" customFormat="1" ht="18">
      <c r="A43" s="3" t="s">
        <v>18</v>
      </c>
      <c r="B43" s="3"/>
      <c r="C43" s="3"/>
      <c r="D43" s="3"/>
      <c r="E43" s="3"/>
    </row>
    <row r="44" spans="1:5" customFormat="1"/>
    <row r="45" spans="1:5" customFormat="1" ht="28">
      <c r="A45" s="8" t="s">
        <v>19</v>
      </c>
      <c r="B45" s="141">
        <v>2</v>
      </c>
    </row>
    <row r="46" spans="1:5" customFormat="1" ht="28">
      <c r="A46" s="8" t="s">
        <v>25</v>
      </c>
      <c r="B46" s="141">
        <f>3200</f>
        <v>3200</v>
      </c>
    </row>
    <row r="47" spans="1:5" customFormat="1" ht="28">
      <c r="A47" s="8" t="s">
        <v>26</v>
      </c>
      <c r="B47" s="141">
        <v>2800</v>
      </c>
    </row>
    <row r="48" spans="1:5" customFormat="1" ht="28">
      <c r="A48" s="8" t="s">
        <v>20</v>
      </c>
      <c r="B48" s="141">
        <v>4000</v>
      </c>
    </row>
    <row r="49" spans="1:5" customFormat="1" ht="28">
      <c r="A49" s="8" t="s">
        <v>28</v>
      </c>
      <c r="B49" s="141">
        <v>6000</v>
      </c>
    </row>
    <row r="50" spans="1:5" customFormat="1" ht="28">
      <c r="A50" s="8" t="s">
        <v>21</v>
      </c>
      <c r="B50" s="141">
        <v>4000</v>
      </c>
    </row>
    <row r="51" spans="1:5" customFormat="1" ht="28">
      <c r="A51" s="8" t="s">
        <v>22</v>
      </c>
      <c r="B51" s="141">
        <v>1000</v>
      </c>
    </row>
    <row r="52" spans="1:5" customFormat="1" ht="28">
      <c r="A52" s="8" t="s">
        <v>23</v>
      </c>
      <c r="B52" s="141">
        <v>2000</v>
      </c>
    </row>
    <row r="53" spans="1:5" customFormat="1" ht="28">
      <c r="A53" s="8" t="s">
        <v>121</v>
      </c>
      <c r="B53" s="141">
        <v>10000</v>
      </c>
    </row>
    <row r="54" spans="1:5" customFormat="1" ht="28">
      <c r="A54" s="8"/>
      <c r="B54" s="141"/>
    </row>
    <row r="55" spans="1:5" customFormat="1" ht="28">
      <c r="A55" s="8" t="s">
        <v>24</v>
      </c>
      <c r="B55" s="141">
        <f>SUM(B48:B53)</f>
        <v>27000</v>
      </c>
    </row>
    <row r="56" spans="1:5" customFormat="1" ht="28">
      <c r="A56" s="8" t="s">
        <v>27</v>
      </c>
      <c r="B56" s="141">
        <f>+B55/B47</f>
        <v>9.6428571428571423</v>
      </c>
    </row>
    <row r="57" spans="1:5" customFormat="1" ht="36">
      <c r="A57" s="82" t="s">
        <v>119</v>
      </c>
      <c r="B57" s="141">
        <f>+B56*1.2</f>
        <v>11.571428571428571</v>
      </c>
    </row>
    <row r="58" spans="1:5" customFormat="1" ht="28">
      <c r="A58" s="83" t="s">
        <v>120</v>
      </c>
      <c r="B58" s="142">
        <f>+B57*7</f>
        <v>81</v>
      </c>
    </row>
    <row r="61" spans="1:5" s="4" customFormat="1" ht="18">
      <c r="A61" s="3" t="s">
        <v>29</v>
      </c>
      <c r="B61" s="3"/>
      <c r="C61" s="3"/>
      <c r="D61" s="3"/>
      <c r="E61" s="3"/>
    </row>
    <row r="62" spans="1:5" customFormat="1"/>
    <row r="63" spans="1:5" customFormat="1" ht="20">
      <c r="A63" s="8" t="s">
        <v>19</v>
      </c>
      <c r="B63" s="143">
        <v>2</v>
      </c>
    </row>
    <row r="64" spans="1:5" customFormat="1" ht="20">
      <c r="A64" s="8" t="s">
        <v>25</v>
      </c>
      <c r="B64" s="143">
        <f>3200</f>
        <v>3200</v>
      </c>
    </row>
    <row r="65" spans="1:2" customFormat="1" ht="20">
      <c r="A65" s="8" t="s">
        <v>26</v>
      </c>
      <c r="B65" s="143">
        <v>3000</v>
      </c>
    </row>
    <row r="66" spans="1:2" customFormat="1" ht="20">
      <c r="A66" s="8" t="s">
        <v>20</v>
      </c>
      <c r="B66" s="143">
        <v>3000</v>
      </c>
    </row>
    <row r="67" spans="1:2" customFormat="1" ht="20">
      <c r="A67" s="8" t="s">
        <v>28</v>
      </c>
      <c r="B67" s="143">
        <v>3500</v>
      </c>
    </row>
    <row r="68" spans="1:2" customFormat="1" ht="20">
      <c r="A68" s="8" t="s">
        <v>21</v>
      </c>
      <c r="B68" s="143">
        <v>2000</v>
      </c>
    </row>
    <row r="69" spans="1:2" customFormat="1" ht="20">
      <c r="A69" s="8" t="s">
        <v>22</v>
      </c>
      <c r="B69" s="143">
        <v>0</v>
      </c>
    </row>
    <row r="70" spans="1:2" customFormat="1" ht="20">
      <c r="A70" s="8" t="s">
        <v>23</v>
      </c>
      <c r="B70" s="143">
        <v>1500</v>
      </c>
    </row>
    <row r="71" spans="1:2" customFormat="1" ht="20">
      <c r="A71" s="8" t="s">
        <v>121</v>
      </c>
      <c r="B71" s="143">
        <v>5000</v>
      </c>
    </row>
    <row r="72" spans="1:2" customFormat="1" ht="20">
      <c r="A72" s="8"/>
      <c r="B72" s="143"/>
    </row>
    <row r="73" spans="1:2" customFormat="1" ht="20">
      <c r="A73" s="8" t="s">
        <v>30</v>
      </c>
      <c r="B73" s="143">
        <f>SUM(B66:B71)</f>
        <v>15000</v>
      </c>
    </row>
    <row r="74" spans="1:2" customFormat="1" ht="20">
      <c r="A74" s="8" t="s">
        <v>27</v>
      </c>
      <c r="B74" s="143">
        <f>+B73/B65</f>
        <v>5</v>
      </c>
    </row>
    <row r="75" spans="1:2" customFormat="1" ht="36">
      <c r="A75" s="82" t="s">
        <v>119</v>
      </c>
      <c r="B75" s="143">
        <f>+B74*1.2</f>
        <v>6</v>
      </c>
    </row>
    <row r="76" spans="1:2" customFormat="1" ht="20">
      <c r="A76" s="83" t="s">
        <v>120</v>
      </c>
      <c r="B76" s="144">
        <f>+B75*7</f>
        <v>42</v>
      </c>
    </row>
    <row r="79" spans="1:2" s="1" customFormat="1" ht="18">
      <c r="A79" s="2" t="s">
        <v>31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1"/>
  <sheetViews>
    <sheetView topLeftCell="A31" workbookViewId="0">
      <selection activeCell="J36" sqref="J36"/>
    </sheetView>
  </sheetViews>
  <sheetFormatPr baseColWidth="10" defaultRowHeight="14" x14ac:dyDescent="0"/>
  <cols>
    <col min="1" max="1" width="26.5" style="6" customWidth="1"/>
    <col min="2" max="2" width="14.5" style="6" customWidth="1"/>
    <col min="3" max="3" width="1.5" style="6" customWidth="1"/>
    <col min="4" max="4" width="14.6640625" style="6" customWidth="1"/>
    <col min="5" max="5" width="11.33203125" style="6" customWidth="1"/>
    <col min="6" max="6" width="14" style="6" customWidth="1"/>
    <col min="7" max="7" width="1.83203125" style="6" customWidth="1"/>
    <col min="8" max="8" width="15.1640625" style="6" customWidth="1"/>
    <col min="9" max="9" width="2" style="6" customWidth="1"/>
    <col min="10" max="10" width="21.33203125" style="6" customWidth="1"/>
    <col min="11" max="11" width="1.5" style="6" customWidth="1"/>
    <col min="12" max="12" width="16.83203125" style="6" customWidth="1"/>
    <col min="13" max="13" width="13.1640625" style="6" customWidth="1"/>
    <col min="14" max="14" width="9" style="6" customWidth="1"/>
    <col min="15" max="15" width="17.83203125" style="6" customWidth="1"/>
    <col min="16" max="16" width="2.5" style="6" customWidth="1"/>
    <col min="17" max="17" width="19.5" style="6" customWidth="1"/>
    <col min="18" max="18" width="0.1640625" style="6" customWidth="1"/>
    <col min="19" max="16384" width="10.83203125" style="6"/>
  </cols>
  <sheetData>
    <row r="3" spans="1:3" s="30" customFormat="1" ht="25">
      <c r="A3" s="29" t="s">
        <v>69</v>
      </c>
    </row>
    <row r="6" spans="1:3" s="4" customFormat="1" ht="18">
      <c r="A6" s="4" t="s">
        <v>47</v>
      </c>
    </row>
    <row r="7" spans="1:3" s="4" customFormat="1" ht="18"/>
    <row r="8" spans="1:3" s="4" customFormat="1" ht="18">
      <c r="A8" s="10" t="s">
        <v>57</v>
      </c>
      <c r="B8" s="4">
        <v>80000</v>
      </c>
      <c r="C8" s="4" t="s">
        <v>48</v>
      </c>
    </row>
    <row r="9" spans="1:3" s="4" customFormat="1" ht="18">
      <c r="A9" s="10" t="s">
        <v>55</v>
      </c>
      <c r="B9" s="4" t="s">
        <v>56</v>
      </c>
    </row>
    <row r="10" spans="1:3" s="4" customFormat="1" ht="18">
      <c r="A10" s="10" t="s">
        <v>33</v>
      </c>
      <c r="B10" s="4">
        <v>50000</v>
      </c>
    </row>
    <row r="11" spans="1:3" s="4" customFormat="1" ht="18">
      <c r="A11" s="7" t="s">
        <v>53</v>
      </c>
      <c r="B11" s="4" t="s">
        <v>62</v>
      </c>
    </row>
    <row r="12" spans="1:3" s="4" customFormat="1" ht="18">
      <c r="A12" s="7"/>
    </row>
    <row r="13" spans="1:3" s="4" customFormat="1" ht="18">
      <c r="A13" s="7" t="s">
        <v>54</v>
      </c>
      <c r="B13" s="4" t="s">
        <v>63</v>
      </c>
    </row>
    <row r="14" spans="1:3" s="4" customFormat="1" ht="18">
      <c r="A14" s="7" t="s">
        <v>34</v>
      </c>
      <c r="B14" s="4" t="s">
        <v>64</v>
      </c>
    </row>
    <row r="15" spans="1:3" s="4" customFormat="1" ht="18">
      <c r="A15" s="7"/>
    </row>
    <row r="16" spans="1:3" s="4" customFormat="1" ht="18">
      <c r="A16" s="7" t="s">
        <v>35</v>
      </c>
      <c r="B16" s="4" t="s">
        <v>65</v>
      </c>
    </row>
    <row r="17" spans="1:18" s="4" customFormat="1" ht="18">
      <c r="A17" s="10" t="s">
        <v>36</v>
      </c>
      <c r="B17" s="4" t="s">
        <v>67</v>
      </c>
    </row>
    <row r="18" spans="1:18" s="4" customFormat="1" ht="18"/>
    <row r="19" spans="1:18" s="4" customFormat="1" ht="18"/>
    <row r="21" spans="1:18" ht="15" thickBot="1"/>
    <row r="22" spans="1:18" ht="26" thickBot="1">
      <c r="B22" s="158" t="s">
        <v>66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</row>
    <row r="23" spans="1:18" ht="15" thickBot="1"/>
    <row r="24" spans="1:18" ht="26" thickBot="1">
      <c r="B24" s="158" t="s">
        <v>32</v>
      </c>
      <c r="C24" s="159"/>
      <c r="D24" s="159"/>
      <c r="E24" s="159"/>
      <c r="F24" s="159"/>
      <c r="G24" s="159"/>
      <c r="H24" s="160"/>
      <c r="J24" s="158" t="s">
        <v>43</v>
      </c>
      <c r="K24" s="159"/>
      <c r="L24" s="159"/>
      <c r="M24" s="159"/>
      <c r="N24" s="159"/>
      <c r="O24" s="159"/>
      <c r="P24" s="159"/>
      <c r="Q24" s="159"/>
      <c r="R24" s="160"/>
    </row>
    <row r="25" spans="1:18" ht="15" thickBot="1">
      <c r="D25" s="161" t="s">
        <v>52</v>
      </c>
      <c r="E25" s="162"/>
      <c r="F25" s="163"/>
      <c r="M25" s="161" t="s">
        <v>52</v>
      </c>
      <c r="N25" s="162"/>
      <c r="O25" s="163"/>
    </row>
    <row r="26" spans="1:18" ht="29" thickBot="1">
      <c r="A26" s="10"/>
      <c r="B26" s="13" t="s">
        <v>37</v>
      </c>
      <c r="C26" s="14"/>
      <c r="D26" s="112" t="s">
        <v>38</v>
      </c>
      <c r="E26" s="113" t="s">
        <v>39</v>
      </c>
      <c r="F26" s="114" t="s">
        <v>40</v>
      </c>
      <c r="G26" s="14"/>
      <c r="H26" s="88" t="s">
        <v>41</v>
      </c>
      <c r="I26" s="14"/>
      <c r="J26" s="15" t="s">
        <v>37</v>
      </c>
      <c r="K26" s="14"/>
      <c r="L26" s="13" t="s">
        <v>37</v>
      </c>
      <c r="M26" s="122" t="s">
        <v>42</v>
      </c>
      <c r="N26" s="113" t="s">
        <v>39</v>
      </c>
      <c r="O26" s="114" t="s">
        <v>40</v>
      </c>
      <c r="P26" s="14"/>
      <c r="Q26" s="15" t="s">
        <v>41</v>
      </c>
    </row>
    <row r="27" spans="1:18" ht="19" thickBot="1">
      <c r="A27" s="10"/>
      <c r="B27" s="89"/>
      <c r="C27" s="16"/>
      <c r="D27" s="115"/>
      <c r="E27" s="115"/>
      <c r="F27" s="115"/>
      <c r="G27" s="16"/>
      <c r="H27" s="86"/>
      <c r="I27" s="16"/>
      <c r="K27" s="16"/>
      <c r="L27" s="24"/>
      <c r="M27" s="115"/>
      <c r="N27" s="115"/>
      <c r="O27" s="115"/>
      <c r="P27" s="16"/>
      <c r="Q27" s="86"/>
    </row>
    <row r="28" spans="1:18" ht="18">
      <c r="A28" s="8" t="s">
        <v>33</v>
      </c>
      <c r="B28" s="90">
        <v>120000</v>
      </c>
      <c r="C28" s="20"/>
      <c r="D28" s="123"/>
      <c r="E28" s="124"/>
      <c r="F28" s="124">
        <v>50000</v>
      </c>
      <c r="G28" s="20"/>
      <c r="H28" s="8">
        <f>+F28+B28</f>
        <v>170000</v>
      </c>
      <c r="I28" s="17"/>
      <c r="J28" s="92" t="s">
        <v>43</v>
      </c>
      <c r="K28" s="17"/>
      <c r="L28" s="100">
        <v>100000</v>
      </c>
      <c r="M28" s="123"/>
      <c r="N28" s="124"/>
      <c r="O28" s="124">
        <v>80000</v>
      </c>
      <c r="P28" s="20"/>
      <c r="Q28" s="87">
        <f>+O28+L28</f>
        <v>180000</v>
      </c>
    </row>
    <row r="29" spans="1:18" ht="18">
      <c r="A29" s="8"/>
      <c r="B29" s="90"/>
      <c r="C29" s="20"/>
      <c r="D29" s="123"/>
      <c r="E29" s="124"/>
      <c r="F29" s="124"/>
      <c r="G29" s="20"/>
      <c r="H29" s="8"/>
      <c r="I29" s="17"/>
      <c r="J29" s="92"/>
      <c r="K29" s="17"/>
      <c r="L29" s="101"/>
      <c r="M29" s="123"/>
      <c r="N29" s="124"/>
      <c r="O29" s="124"/>
      <c r="P29" s="20"/>
      <c r="Q29" s="87"/>
    </row>
    <row r="30" spans="1:18" ht="18">
      <c r="A30" s="8" t="s">
        <v>53</v>
      </c>
      <c r="B30" s="90"/>
      <c r="C30" s="20"/>
      <c r="D30" s="123"/>
      <c r="E30" s="124"/>
      <c r="F30" s="124"/>
      <c r="G30" s="20"/>
      <c r="H30" s="8"/>
      <c r="I30" s="17"/>
      <c r="J30" s="92" t="s">
        <v>44</v>
      </c>
      <c r="K30" s="17"/>
      <c r="L30" s="101">
        <v>100000</v>
      </c>
      <c r="M30" s="123">
        <v>500</v>
      </c>
      <c r="N30" s="124">
        <v>100</v>
      </c>
      <c r="O30" s="124">
        <f>+M30*N30</f>
        <v>50000</v>
      </c>
      <c r="P30" s="20"/>
      <c r="Q30" s="87">
        <f t="shared" ref="Q30:Q42" si="0">+O30+L30</f>
        <v>150000</v>
      </c>
    </row>
    <row r="31" spans="1:18" ht="18">
      <c r="A31" s="84" t="s">
        <v>58</v>
      </c>
      <c r="B31" s="90">
        <v>15000</v>
      </c>
      <c r="C31" s="20"/>
      <c r="D31" s="123">
        <f>'Corrigé 1 cout personnel matér '!B20</f>
        <v>200.2336</v>
      </c>
      <c r="E31" s="124">
        <v>50</v>
      </c>
      <c r="F31" s="124">
        <f>+D31*E31</f>
        <v>10011.68</v>
      </c>
      <c r="G31" s="20"/>
      <c r="H31" s="8">
        <f>+F31+B31</f>
        <v>25011.68</v>
      </c>
      <c r="I31" s="17"/>
      <c r="J31" s="92"/>
      <c r="K31" s="17"/>
      <c r="L31" s="101"/>
      <c r="M31" s="123"/>
      <c r="N31" s="124"/>
      <c r="O31" s="124"/>
      <c r="P31" s="20"/>
      <c r="Q31" s="87"/>
    </row>
    <row r="32" spans="1:18" ht="18">
      <c r="A32" s="84" t="s">
        <v>59</v>
      </c>
      <c r="B32" s="90">
        <v>5000</v>
      </c>
      <c r="C32" s="20"/>
      <c r="D32" s="123">
        <f>'Corrigé 1 cout personnel matér '!B38</f>
        <v>283.57590361445779</v>
      </c>
      <c r="E32" s="124">
        <v>20</v>
      </c>
      <c r="F32" s="124">
        <f>+D32*E32</f>
        <v>5671.5180722891555</v>
      </c>
      <c r="G32" s="20"/>
      <c r="H32" s="8">
        <f t="shared" ref="H32:H42" si="1">+F32+B32</f>
        <v>10671.518072289156</v>
      </c>
      <c r="I32" s="17"/>
      <c r="J32" s="92"/>
      <c r="K32" s="17"/>
      <c r="L32" s="101"/>
      <c r="M32" s="123"/>
      <c r="N32" s="124"/>
      <c r="O32" s="124"/>
      <c r="P32" s="20"/>
      <c r="Q32" s="87"/>
    </row>
    <row r="33" spans="1:17" ht="18">
      <c r="A33" s="84"/>
      <c r="B33" s="90"/>
      <c r="C33" s="20"/>
      <c r="D33" s="123"/>
      <c r="E33" s="124"/>
      <c r="F33" s="124"/>
      <c r="G33" s="20"/>
      <c r="H33" s="8"/>
      <c r="I33" s="17"/>
      <c r="J33" s="92"/>
      <c r="K33" s="17"/>
      <c r="L33" s="101"/>
      <c r="M33" s="123"/>
      <c r="N33" s="124"/>
      <c r="O33" s="124"/>
      <c r="P33" s="20"/>
      <c r="Q33" s="87"/>
    </row>
    <row r="34" spans="1:17" ht="18">
      <c r="A34" s="8" t="s">
        <v>54</v>
      </c>
      <c r="B34" s="90">
        <v>2000</v>
      </c>
      <c r="C34" s="20"/>
      <c r="D34" s="123">
        <v>180</v>
      </c>
      <c r="E34" s="124">
        <v>50</v>
      </c>
      <c r="F34" s="124">
        <f>+D34*E34</f>
        <v>9000</v>
      </c>
      <c r="G34" s="20"/>
      <c r="H34" s="8">
        <f t="shared" si="1"/>
        <v>11000</v>
      </c>
      <c r="I34" s="17"/>
      <c r="J34" s="93"/>
      <c r="K34" s="17"/>
      <c r="L34" s="102"/>
      <c r="M34" s="123"/>
      <c r="N34" s="124"/>
      <c r="O34" s="124"/>
      <c r="P34" s="20"/>
      <c r="Q34" s="87"/>
    </row>
    <row r="35" spans="1:17" ht="18">
      <c r="A35" s="8"/>
      <c r="B35" s="90"/>
      <c r="C35" s="20"/>
      <c r="D35" s="123"/>
      <c r="E35" s="124"/>
      <c r="F35" s="124"/>
      <c r="G35" s="20"/>
      <c r="H35" s="8"/>
      <c r="I35" s="17"/>
      <c r="J35" s="93"/>
      <c r="K35" s="17"/>
      <c r="L35" s="102"/>
      <c r="M35" s="123"/>
      <c r="N35" s="124"/>
      <c r="O35" s="124"/>
      <c r="P35" s="20"/>
      <c r="Q35" s="87"/>
    </row>
    <row r="36" spans="1:17" ht="18">
      <c r="A36" s="8" t="s">
        <v>34</v>
      </c>
      <c r="B36" s="90"/>
      <c r="C36" s="20"/>
      <c r="D36" s="123"/>
      <c r="E36" s="124"/>
      <c r="F36" s="124"/>
      <c r="G36" s="20"/>
      <c r="H36" s="8"/>
      <c r="I36" s="17"/>
      <c r="J36" s="93"/>
      <c r="K36" s="17"/>
      <c r="L36" s="102"/>
      <c r="M36" s="116"/>
      <c r="N36" s="111"/>
      <c r="O36" s="111"/>
      <c r="P36" s="20"/>
      <c r="Q36" s="87"/>
    </row>
    <row r="37" spans="1:17" ht="18">
      <c r="A37" s="8" t="s">
        <v>60</v>
      </c>
      <c r="B37" s="90">
        <v>35000</v>
      </c>
      <c r="C37" s="20"/>
      <c r="D37" s="123">
        <f>'Corrigé 1 cout personnel matér '!B58</f>
        <v>81</v>
      </c>
      <c r="E37" s="124">
        <v>20</v>
      </c>
      <c r="F37" s="124">
        <f>+D37*E37</f>
        <v>1620</v>
      </c>
      <c r="G37" s="20"/>
      <c r="H37" s="8">
        <f t="shared" si="1"/>
        <v>36620</v>
      </c>
      <c r="I37" s="17"/>
      <c r="J37" s="93"/>
      <c r="K37" s="17"/>
      <c r="L37" s="102"/>
      <c r="M37" s="116"/>
      <c r="N37" s="111"/>
      <c r="O37" s="111"/>
      <c r="P37" s="20"/>
      <c r="Q37" s="87"/>
    </row>
    <row r="38" spans="1:17" ht="18">
      <c r="A38" s="8" t="s">
        <v>61</v>
      </c>
      <c r="B38" s="90">
        <v>10000</v>
      </c>
      <c r="C38" s="20"/>
      <c r="D38" s="123">
        <f>'Corrigé 1 cout personnel matér '!B76</f>
        <v>42</v>
      </c>
      <c r="E38" s="124">
        <v>20</v>
      </c>
      <c r="F38" s="124">
        <f>+D38*E38</f>
        <v>840</v>
      </c>
      <c r="G38" s="20"/>
      <c r="H38" s="8">
        <f t="shared" si="1"/>
        <v>10840</v>
      </c>
      <c r="I38" s="17"/>
      <c r="J38" s="93"/>
      <c r="K38" s="17"/>
      <c r="L38" s="102"/>
      <c r="M38" s="116"/>
      <c r="N38" s="111"/>
      <c r="O38" s="111"/>
      <c r="P38" s="20"/>
      <c r="Q38" s="87"/>
    </row>
    <row r="39" spans="1:17" ht="18">
      <c r="A39" s="8"/>
      <c r="B39" s="90"/>
      <c r="C39" s="20"/>
      <c r="D39" s="123"/>
      <c r="E39" s="124"/>
      <c r="F39" s="124"/>
      <c r="G39" s="20"/>
      <c r="H39" s="8"/>
      <c r="I39" s="17"/>
      <c r="J39" s="93"/>
      <c r="K39" s="17"/>
      <c r="L39" s="102"/>
      <c r="M39" s="116"/>
      <c r="N39" s="111"/>
      <c r="O39" s="111"/>
      <c r="P39" s="20"/>
      <c r="Q39" s="87"/>
    </row>
    <row r="40" spans="1:17" ht="18">
      <c r="A40" s="8" t="s">
        <v>35</v>
      </c>
      <c r="B40" s="90">
        <v>33000</v>
      </c>
      <c r="C40" s="20"/>
      <c r="D40" s="123">
        <v>70</v>
      </c>
      <c r="E40" s="124">
        <v>20</v>
      </c>
      <c r="F40" s="124">
        <f>+D40*E40</f>
        <v>1400</v>
      </c>
      <c r="G40" s="20"/>
      <c r="H40" s="8">
        <f t="shared" si="1"/>
        <v>34400</v>
      </c>
      <c r="I40" s="17"/>
      <c r="J40" s="93"/>
      <c r="K40" s="17"/>
      <c r="L40" s="102"/>
      <c r="M40" s="116"/>
      <c r="N40" s="111"/>
      <c r="O40" s="111"/>
      <c r="P40" s="20"/>
      <c r="Q40" s="87"/>
    </row>
    <row r="41" spans="1:17" ht="19" thickBot="1">
      <c r="A41" s="8" t="s">
        <v>36</v>
      </c>
      <c r="B41" s="91">
        <v>20000</v>
      </c>
      <c r="C41" s="20"/>
      <c r="D41" s="123"/>
      <c r="E41" s="124"/>
      <c r="F41" s="138">
        <v>10000</v>
      </c>
      <c r="G41" s="20"/>
      <c r="H41" s="127">
        <f t="shared" si="1"/>
        <v>30000</v>
      </c>
      <c r="I41" s="17"/>
      <c r="J41" s="93"/>
      <c r="K41" s="17"/>
      <c r="L41" s="103"/>
      <c r="M41" s="116"/>
      <c r="N41" s="111"/>
      <c r="O41" s="117"/>
      <c r="P41" s="20"/>
      <c r="Q41" s="109"/>
    </row>
    <row r="42" spans="1:17" ht="19" thickBot="1">
      <c r="A42" s="85" t="s">
        <v>45</v>
      </c>
      <c r="B42" s="96">
        <f>SUM(B28:B41)</f>
        <v>240000</v>
      </c>
      <c r="C42" s="20"/>
      <c r="D42" s="116"/>
      <c r="E42" s="118"/>
      <c r="F42" s="119">
        <f>SUM(F28:F41)</f>
        <v>88543.19807228916</v>
      </c>
      <c r="G42" s="20"/>
      <c r="H42" s="25">
        <f t="shared" si="1"/>
        <v>328543.19807228917</v>
      </c>
      <c r="I42" s="17"/>
      <c r="J42" s="92" t="s">
        <v>45</v>
      </c>
      <c r="K42" s="17"/>
      <c r="L42" s="96">
        <f>SUM(L28:L41)</f>
        <v>200000</v>
      </c>
      <c r="M42" s="116"/>
      <c r="N42" s="118"/>
      <c r="O42" s="119">
        <f>SUM(O28:O41)</f>
        <v>130000</v>
      </c>
      <c r="P42" s="20"/>
      <c r="Q42" s="25">
        <f t="shared" si="0"/>
        <v>330000</v>
      </c>
    </row>
    <row r="43" spans="1:17" ht="19" thickBot="1">
      <c r="A43" s="8"/>
      <c r="B43" s="97"/>
      <c r="C43" s="22"/>
      <c r="D43" s="116"/>
      <c r="E43" s="111"/>
      <c r="F43" s="120"/>
      <c r="G43" s="22"/>
      <c r="H43" s="110"/>
      <c r="I43" s="23"/>
      <c r="J43" s="92"/>
      <c r="K43" s="104"/>
      <c r="L43" s="106"/>
      <c r="M43" s="116"/>
      <c r="N43" s="111"/>
      <c r="O43" s="126"/>
      <c r="P43" s="22"/>
      <c r="Q43" s="110"/>
    </row>
    <row r="44" spans="1:17" ht="19" thickBot="1">
      <c r="A44" s="90" t="s">
        <v>49</v>
      </c>
      <c r="B44" s="96">
        <f>+L42-B42</f>
        <v>-40000</v>
      </c>
      <c r="C44" s="22"/>
      <c r="D44" s="116"/>
      <c r="E44" s="111"/>
      <c r="F44" s="111"/>
      <c r="G44" s="22"/>
      <c r="H44" s="87"/>
      <c r="I44" s="23"/>
      <c r="J44" s="92"/>
      <c r="K44" s="104"/>
      <c r="L44" s="107"/>
      <c r="M44" s="116"/>
      <c r="N44" s="111"/>
      <c r="O44" s="124"/>
      <c r="P44" s="22"/>
      <c r="Q44" s="87"/>
    </row>
    <row r="45" spans="1:17" ht="19" thickBot="1">
      <c r="A45" s="85" t="s">
        <v>46</v>
      </c>
      <c r="B45" s="98">
        <f>+B44/L42</f>
        <v>-0.2</v>
      </c>
      <c r="C45" s="21"/>
      <c r="D45" s="116"/>
      <c r="E45" s="111"/>
      <c r="F45" s="111"/>
      <c r="G45" s="21"/>
      <c r="H45" s="87"/>
      <c r="I45" s="19"/>
      <c r="J45" s="94"/>
      <c r="K45" s="105"/>
      <c r="L45" s="107"/>
      <c r="M45" s="116"/>
      <c r="N45" s="111"/>
      <c r="O45" s="111"/>
      <c r="P45" s="21"/>
      <c r="Q45" s="87"/>
    </row>
    <row r="46" spans="1:17" ht="19" thickBot="1">
      <c r="A46" s="86"/>
      <c r="B46" s="89"/>
      <c r="D46" s="115"/>
      <c r="E46" s="115"/>
      <c r="F46" s="115"/>
      <c r="H46" s="86"/>
      <c r="J46" s="89"/>
      <c r="L46" s="108"/>
      <c r="M46" s="125"/>
      <c r="N46" s="125"/>
      <c r="O46" s="125"/>
      <c r="Q46" s="86"/>
    </row>
    <row r="47" spans="1:17" ht="19" thickBot="1">
      <c r="A47" s="8" t="s">
        <v>50</v>
      </c>
      <c r="B47" s="90"/>
      <c r="C47" s="22"/>
      <c r="D47" s="116"/>
      <c r="E47" s="118"/>
      <c r="F47" s="119">
        <f>+O42-F42</f>
        <v>41456.80192771084</v>
      </c>
      <c r="G47" s="22"/>
      <c r="H47" s="87"/>
      <c r="I47" s="23"/>
      <c r="J47" s="92"/>
      <c r="K47" s="104"/>
      <c r="L47" s="107"/>
      <c r="M47" s="116"/>
      <c r="N47" s="111"/>
      <c r="O47" s="124"/>
      <c r="P47" s="22"/>
      <c r="Q47" s="87"/>
    </row>
    <row r="48" spans="1:17" ht="19" thickBot="1">
      <c r="A48" s="8" t="s">
        <v>46</v>
      </c>
      <c r="B48" s="99"/>
      <c r="C48" s="21"/>
      <c r="D48" s="116"/>
      <c r="E48" s="118"/>
      <c r="F48" s="121">
        <f>+F47/O42</f>
        <v>0.31889847636700647</v>
      </c>
      <c r="G48" s="21"/>
      <c r="H48" s="87"/>
      <c r="I48" s="19"/>
      <c r="J48" s="94"/>
      <c r="K48" s="105"/>
      <c r="L48" s="107"/>
      <c r="M48" s="116"/>
      <c r="N48" s="111"/>
      <c r="O48" s="111"/>
      <c r="P48" s="21"/>
      <c r="Q48" s="87"/>
    </row>
    <row r="49" spans="1:17" ht="19" thickBot="1">
      <c r="A49" s="86"/>
      <c r="B49" s="89"/>
      <c r="D49" s="115"/>
      <c r="E49" s="115"/>
      <c r="F49" s="115"/>
      <c r="H49" s="86"/>
      <c r="J49" s="89"/>
      <c r="L49" s="108"/>
      <c r="M49" s="125"/>
      <c r="N49" s="125"/>
      <c r="O49" s="125"/>
      <c r="Q49" s="86"/>
    </row>
    <row r="50" spans="1:17" ht="19" thickBot="1">
      <c r="A50" s="8" t="s">
        <v>51</v>
      </c>
      <c r="B50" s="90"/>
      <c r="C50" s="22"/>
      <c r="D50" s="116"/>
      <c r="E50" s="111"/>
      <c r="F50" s="111"/>
      <c r="G50" s="22"/>
      <c r="H50" s="25">
        <f>+Q42-H42</f>
        <v>1456.8019277108251</v>
      </c>
      <c r="I50" s="23"/>
      <c r="J50" s="92"/>
      <c r="K50" s="104"/>
      <c r="L50" s="107"/>
      <c r="M50" s="116"/>
      <c r="N50" s="111"/>
      <c r="O50" s="124"/>
      <c r="P50" s="22"/>
      <c r="Q50" s="87"/>
    </row>
    <row r="51" spans="1:17" ht="19" thickBot="1">
      <c r="A51" s="8" t="s">
        <v>46</v>
      </c>
      <c r="B51" s="99"/>
      <c r="C51" s="21"/>
      <c r="D51" s="116"/>
      <c r="E51" s="111"/>
      <c r="F51" s="111"/>
      <c r="G51" s="21"/>
      <c r="H51" s="26">
        <f>+H50/Q42</f>
        <v>4.4145512960934094E-3</v>
      </c>
      <c r="I51" s="19"/>
      <c r="J51" s="94"/>
      <c r="K51" s="105"/>
      <c r="L51" s="103"/>
      <c r="M51" s="116"/>
      <c r="N51" s="111"/>
      <c r="O51" s="111"/>
      <c r="P51" s="21"/>
      <c r="Q51" s="87"/>
    </row>
  </sheetData>
  <mergeCells count="5">
    <mergeCell ref="B24:H24"/>
    <mergeCell ref="J24:R24"/>
    <mergeCell ref="B22:Q22"/>
    <mergeCell ref="D25:F25"/>
    <mergeCell ref="M25:O2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8"/>
  <sheetViews>
    <sheetView topLeftCell="G9" workbookViewId="0">
      <selection activeCell="Q15" sqref="Q15"/>
    </sheetView>
  </sheetViews>
  <sheetFormatPr baseColWidth="10" defaultRowHeight="14" x14ac:dyDescent="0"/>
  <cols>
    <col min="1" max="1" width="33.6640625" style="6" customWidth="1"/>
    <col min="2" max="2" width="23.5" style="6" customWidth="1"/>
    <col min="3" max="3" width="16.5" style="6" customWidth="1"/>
    <col min="4" max="4" width="17.83203125" style="6" customWidth="1"/>
    <col min="5" max="5" width="2.33203125" style="6" customWidth="1"/>
    <col min="6" max="6" width="19.83203125" style="6" customWidth="1"/>
    <col min="7" max="7" width="17.6640625" style="6" customWidth="1"/>
    <col min="8" max="8" width="17.83203125" style="6" customWidth="1"/>
    <col min="9" max="9" width="1.83203125" style="6" customWidth="1"/>
    <col min="10" max="10" width="16.33203125" style="6" customWidth="1"/>
    <col min="11" max="11" width="7.6640625" style="6" customWidth="1"/>
    <col min="12" max="12" width="14.33203125" style="6" customWidth="1"/>
    <col min="13" max="13" width="5.1640625" style="6" customWidth="1"/>
    <col min="14" max="14" width="2.5" style="6" customWidth="1"/>
    <col min="15" max="15" width="23.5" style="6" customWidth="1"/>
    <col min="16" max="16" width="21" style="6" customWidth="1"/>
    <col min="17" max="17" width="17.5" style="6" customWidth="1"/>
    <col min="18" max="18" width="2.83203125" style="6" customWidth="1"/>
    <col min="19" max="19" width="18.5" style="6" customWidth="1"/>
    <col min="20" max="20" width="8" style="6" customWidth="1"/>
    <col min="21" max="16384" width="10.83203125" style="6"/>
  </cols>
  <sheetData>
    <row r="4" spans="1:3" s="30" customFormat="1" ht="25">
      <c r="A4" s="29" t="s">
        <v>68</v>
      </c>
    </row>
    <row r="7" spans="1:3" s="4" customFormat="1" ht="18">
      <c r="A7" s="4" t="s">
        <v>78</v>
      </c>
    </row>
    <row r="8" spans="1:3" s="4" customFormat="1" ht="18">
      <c r="A8" s="4" t="s">
        <v>122</v>
      </c>
    </row>
    <row r="9" spans="1:3" s="4" customFormat="1" ht="18"/>
    <row r="10" spans="1:3" s="4" customFormat="1" ht="18">
      <c r="A10" s="3" t="s">
        <v>109</v>
      </c>
    </row>
    <row r="11" spans="1:3" s="4" customFormat="1" ht="18"/>
    <row r="12" spans="1:3" s="4" customFormat="1" ht="18">
      <c r="A12" s="10" t="s">
        <v>132</v>
      </c>
    </row>
    <row r="13" spans="1:3" s="4" customFormat="1" ht="18">
      <c r="A13" s="10" t="s">
        <v>123</v>
      </c>
      <c r="C13" s="4">
        <v>7000</v>
      </c>
    </row>
    <row r="14" spans="1:3" s="4" customFormat="1" ht="18">
      <c r="A14" s="10" t="s">
        <v>124</v>
      </c>
      <c r="C14" s="4">
        <v>4000</v>
      </c>
    </row>
    <row r="15" spans="1:3" s="4" customFormat="1" ht="18">
      <c r="A15" s="10" t="s">
        <v>74</v>
      </c>
      <c r="C15" s="4">
        <v>4000</v>
      </c>
    </row>
    <row r="16" spans="1:3" s="4" customFormat="1" ht="18">
      <c r="A16" s="10" t="s">
        <v>75</v>
      </c>
      <c r="C16" s="4">
        <v>1666.67</v>
      </c>
    </row>
    <row r="17" spans="1:20" s="4" customFormat="1" ht="18">
      <c r="A17" s="10" t="s">
        <v>77</v>
      </c>
      <c r="C17" s="4">
        <v>0</v>
      </c>
    </row>
    <row r="18" spans="1:20" s="4" customFormat="1" ht="18"/>
    <row r="19" spans="1:20" s="4" customFormat="1" ht="19" thickBot="1"/>
    <row r="20" spans="1:20" s="4" customFormat="1" ht="19" thickBot="1">
      <c r="B20" s="164" t="s">
        <v>80</v>
      </c>
      <c r="C20" s="165"/>
      <c r="D20" s="166"/>
      <c r="E20" s="31"/>
      <c r="F20" s="164" t="s">
        <v>84</v>
      </c>
      <c r="G20" s="165"/>
      <c r="H20" s="166"/>
      <c r="I20" s="32"/>
      <c r="J20" s="165" t="s">
        <v>110</v>
      </c>
      <c r="K20" s="165"/>
      <c r="L20" s="165"/>
      <c r="M20" s="64"/>
      <c r="N20" s="32"/>
      <c r="O20" s="165" t="s">
        <v>88</v>
      </c>
      <c r="P20" s="165"/>
      <c r="Q20" s="166"/>
      <c r="R20" s="67"/>
      <c r="S20" s="164" t="s">
        <v>90</v>
      </c>
      <c r="T20" s="166"/>
    </row>
    <row r="21" spans="1:20" s="4" customFormat="1" ht="19" thickBot="1">
      <c r="B21" s="33" t="s">
        <v>81</v>
      </c>
      <c r="C21" s="34" t="s">
        <v>82</v>
      </c>
      <c r="D21" s="35" t="s">
        <v>83</v>
      </c>
      <c r="E21" s="36"/>
      <c r="F21" s="35" t="s">
        <v>85</v>
      </c>
      <c r="G21" s="37" t="s">
        <v>86</v>
      </c>
      <c r="H21" s="37" t="s">
        <v>83</v>
      </c>
      <c r="I21" s="36"/>
      <c r="J21" s="38" t="s">
        <v>86</v>
      </c>
      <c r="K21" s="62"/>
      <c r="L21" s="39" t="s">
        <v>83</v>
      </c>
      <c r="M21" s="72" t="s">
        <v>104</v>
      </c>
      <c r="N21" s="65"/>
      <c r="O21" s="40" t="s">
        <v>87</v>
      </c>
      <c r="P21" s="34" t="s">
        <v>99</v>
      </c>
      <c r="Q21" s="35" t="s">
        <v>89</v>
      </c>
      <c r="R21" s="36"/>
      <c r="S21" s="68" t="s">
        <v>91</v>
      </c>
      <c r="T21" s="72" t="s">
        <v>104</v>
      </c>
    </row>
    <row r="22" spans="1:20" s="47" customFormat="1" ht="16" thickBot="1">
      <c r="A22" s="41"/>
      <c r="B22" s="42" t="s">
        <v>92</v>
      </c>
      <c r="C22" s="42" t="s">
        <v>93</v>
      </c>
      <c r="D22" s="42" t="s">
        <v>94</v>
      </c>
      <c r="E22" s="36"/>
      <c r="F22" s="42" t="s">
        <v>95</v>
      </c>
      <c r="G22" s="42" t="s">
        <v>96</v>
      </c>
      <c r="H22" s="43" t="s">
        <v>97</v>
      </c>
      <c r="I22" s="36"/>
      <c r="J22" s="44" t="s">
        <v>111</v>
      </c>
      <c r="K22" s="72" t="s">
        <v>104</v>
      </c>
      <c r="L22" s="45" t="s">
        <v>112</v>
      </c>
      <c r="M22" s="72" t="s">
        <v>104</v>
      </c>
      <c r="N22" s="65"/>
      <c r="O22" s="46" t="s">
        <v>98</v>
      </c>
      <c r="P22" s="42" t="s">
        <v>100</v>
      </c>
      <c r="Q22" s="42" t="s">
        <v>101</v>
      </c>
      <c r="R22" s="36"/>
      <c r="S22" s="70" t="s">
        <v>102</v>
      </c>
      <c r="T22" s="71"/>
    </row>
    <row r="23" spans="1:20" ht="16" thickBot="1">
      <c r="A23" s="48" t="s">
        <v>79</v>
      </c>
      <c r="B23" s="73">
        <v>600000</v>
      </c>
      <c r="C23" s="74"/>
      <c r="D23" s="75"/>
      <c r="E23" s="16"/>
      <c r="F23" s="49">
        <f>'Corrigé 2 résultat'!L42</f>
        <v>200000</v>
      </c>
      <c r="G23" s="50">
        <f>'Corrigé 2 résultat'!O42</f>
        <v>130000</v>
      </c>
      <c r="H23" s="51">
        <f>+F23+G23</f>
        <v>330000</v>
      </c>
      <c r="I23" s="69"/>
      <c r="J23" s="18"/>
      <c r="K23" s="81" t="e">
        <f>+J23/C23</f>
        <v>#DIV/0!</v>
      </c>
      <c r="L23" s="18"/>
      <c r="M23" s="79" t="e">
        <f>+L23/D23</f>
        <v>#DIV/0!</v>
      </c>
      <c r="N23" s="66"/>
      <c r="O23" s="52">
        <f>+H23</f>
        <v>330000</v>
      </c>
      <c r="P23" s="54">
        <f>5*C23</f>
        <v>0</v>
      </c>
      <c r="Q23" s="55">
        <f>+O23+P23</f>
        <v>330000</v>
      </c>
      <c r="R23" s="69"/>
      <c r="S23" s="18"/>
      <c r="T23" s="79">
        <f>+S23/B23</f>
        <v>0</v>
      </c>
    </row>
    <row r="24" spans="1:20" ht="16" thickBot="1">
      <c r="A24" s="56" t="s">
        <v>32</v>
      </c>
      <c r="B24" s="73">
        <v>400000</v>
      </c>
      <c r="C24" s="74"/>
      <c r="D24" s="75"/>
      <c r="E24" s="16"/>
      <c r="F24" s="57">
        <f>'Corrigé 2 résultat'!B42</f>
        <v>240000</v>
      </c>
      <c r="G24" s="18">
        <f>'Corrigé 2 résultat'!F42</f>
        <v>88543.19807228916</v>
      </c>
      <c r="H24" s="51">
        <f t="shared" ref="H24:H25" si="0">+F24+G24</f>
        <v>328543.19807228917</v>
      </c>
      <c r="I24" s="69"/>
      <c r="J24" s="18"/>
      <c r="K24" s="81" t="e">
        <f t="shared" ref="K24:K31" si="1">+J24/C24</f>
        <v>#DIV/0!</v>
      </c>
      <c r="L24" s="18"/>
      <c r="M24" s="79" t="e">
        <f t="shared" ref="M24:M31" si="2">+L24/D24</f>
        <v>#DIV/0!</v>
      </c>
      <c r="N24" s="66"/>
      <c r="O24" s="52">
        <f t="shared" ref="O24:O31" si="3">+H24</f>
        <v>328543.19807228917</v>
      </c>
      <c r="P24" s="54">
        <f t="shared" ref="P24:P31" si="4">5*C24</f>
        <v>0</v>
      </c>
      <c r="Q24" s="55">
        <f t="shared" ref="Q24:Q31" si="5">+O24+P24</f>
        <v>328543.19807228917</v>
      </c>
      <c r="R24" s="69"/>
      <c r="S24" s="18"/>
      <c r="T24" s="79">
        <f t="shared" ref="T24:T31" si="6">+S24/B24</f>
        <v>0</v>
      </c>
    </row>
    <row r="25" spans="1:20" ht="20">
      <c r="A25" s="56" t="s">
        <v>103</v>
      </c>
      <c r="B25" s="73">
        <f>+B23-B24</f>
        <v>200000</v>
      </c>
      <c r="C25" s="74"/>
      <c r="D25" s="75"/>
      <c r="E25" s="16"/>
      <c r="F25" s="145">
        <f>+F23-F24</f>
        <v>-40000</v>
      </c>
      <c r="G25" s="145">
        <f>+G23-G24</f>
        <v>41456.80192771084</v>
      </c>
      <c r="H25" s="146">
        <f t="shared" si="0"/>
        <v>1456.8019277108397</v>
      </c>
      <c r="I25" s="69"/>
      <c r="J25" s="18"/>
      <c r="K25" s="81" t="e">
        <f t="shared" si="1"/>
        <v>#DIV/0!</v>
      </c>
      <c r="L25" s="18"/>
      <c r="M25" s="79" t="e">
        <f t="shared" si="2"/>
        <v>#DIV/0!</v>
      </c>
      <c r="N25" s="66"/>
      <c r="O25" s="52">
        <f t="shared" si="3"/>
        <v>1456.8019277108397</v>
      </c>
      <c r="P25" s="54">
        <f t="shared" si="4"/>
        <v>0</v>
      </c>
      <c r="Q25" s="55">
        <f t="shared" si="5"/>
        <v>1456.8019277108397</v>
      </c>
      <c r="R25" s="69"/>
      <c r="S25" s="18"/>
      <c r="T25" s="79">
        <f t="shared" si="6"/>
        <v>0</v>
      </c>
    </row>
    <row r="26" spans="1:20" ht="16" thickBot="1">
      <c r="A26" s="56" t="s">
        <v>107</v>
      </c>
      <c r="B26" s="76">
        <f>+B25/B23</f>
        <v>0.33333333333333331</v>
      </c>
      <c r="C26" s="76"/>
      <c r="D26" s="76"/>
      <c r="E26" s="16"/>
      <c r="F26" s="76">
        <f t="shared" ref="F26:H26" si="7">+F25/F23</f>
        <v>-0.2</v>
      </c>
      <c r="G26" s="76">
        <f t="shared" si="7"/>
        <v>0.31889847636700647</v>
      </c>
      <c r="H26" s="76">
        <f t="shared" si="7"/>
        <v>4.4145512960934536E-3</v>
      </c>
      <c r="I26" s="69"/>
      <c r="J26" s="80"/>
      <c r="K26" s="63"/>
      <c r="L26" s="80"/>
      <c r="M26" s="79"/>
      <c r="N26" s="66"/>
      <c r="O26" s="76">
        <f t="shared" ref="O26:T26" si="8">+O25/O23</f>
        <v>4.4145512960934536E-3</v>
      </c>
      <c r="P26" s="76" t="e">
        <f t="shared" si="8"/>
        <v>#DIV/0!</v>
      </c>
      <c r="Q26" s="76">
        <f t="shared" si="8"/>
        <v>4.4145512960934536E-3</v>
      </c>
      <c r="R26" s="69"/>
      <c r="S26" s="76"/>
      <c r="T26" s="76" t="e">
        <f t="shared" si="8"/>
        <v>#DIV/0!</v>
      </c>
    </row>
    <row r="27" spans="1:20" ht="16" thickBot="1">
      <c r="A27" s="60" t="s">
        <v>76</v>
      </c>
      <c r="B27" s="73">
        <v>50000</v>
      </c>
      <c r="C27" s="74"/>
      <c r="D27" s="75"/>
      <c r="E27" s="16"/>
      <c r="F27" s="57">
        <v>25000</v>
      </c>
      <c r="G27" s="18">
        <v>7000</v>
      </c>
      <c r="H27" s="51">
        <f>+F27+G27</f>
        <v>32000</v>
      </c>
      <c r="I27" s="69"/>
      <c r="J27" s="18"/>
      <c r="K27" s="81" t="e">
        <f t="shared" si="1"/>
        <v>#DIV/0!</v>
      </c>
      <c r="L27" s="18"/>
      <c r="M27" s="79" t="e">
        <f t="shared" si="2"/>
        <v>#DIV/0!</v>
      </c>
      <c r="N27" s="66"/>
      <c r="O27" s="52">
        <f t="shared" si="3"/>
        <v>32000</v>
      </c>
      <c r="P27" s="54">
        <f t="shared" si="4"/>
        <v>0</v>
      </c>
      <c r="Q27" s="55">
        <f t="shared" si="5"/>
        <v>32000</v>
      </c>
      <c r="R27" s="69"/>
      <c r="S27" s="18"/>
      <c r="T27" s="79">
        <f t="shared" si="6"/>
        <v>0</v>
      </c>
    </row>
    <row r="28" spans="1:20" ht="16" thickBot="1">
      <c r="A28" s="60" t="s">
        <v>108</v>
      </c>
      <c r="B28" s="73">
        <v>30000</v>
      </c>
      <c r="C28" s="74"/>
      <c r="D28" s="75"/>
      <c r="E28" s="16"/>
      <c r="F28" s="57">
        <v>15000</v>
      </c>
      <c r="G28" s="18"/>
      <c r="H28" s="51"/>
      <c r="I28" s="69"/>
      <c r="J28" s="18"/>
      <c r="K28" s="81" t="e">
        <f t="shared" si="1"/>
        <v>#DIV/0!</v>
      </c>
      <c r="L28" s="18"/>
      <c r="M28" s="79" t="e">
        <f t="shared" si="2"/>
        <v>#DIV/0!</v>
      </c>
      <c r="N28" s="66"/>
      <c r="O28" s="52">
        <f t="shared" si="3"/>
        <v>0</v>
      </c>
      <c r="P28" s="54">
        <f t="shared" si="4"/>
        <v>0</v>
      </c>
      <c r="Q28" s="55">
        <f t="shared" si="5"/>
        <v>0</v>
      </c>
      <c r="R28" s="69"/>
      <c r="S28" s="18"/>
      <c r="T28" s="79">
        <f t="shared" si="6"/>
        <v>0</v>
      </c>
    </row>
    <row r="29" spans="1:20" ht="16" thickBot="1">
      <c r="A29" s="60" t="s">
        <v>74</v>
      </c>
      <c r="B29" s="73">
        <v>60000</v>
      </c>
      <c r="C29" s="74"/>
      <c r="D29" s="75"/>
      <c r="E29" s="16"/>
      <c r="F29" s="57">
        <v>30000</v>
      </c>
      <c r="G29" s="18"/>
      <c r="H29" s="51"/>
      <c r="I29" s="69"/>
      <c r="J29" s="18"/>
      <c r="K29" s="81" t="e">
        <f t="shared" si="1"/>
        <v>#DIV/0!</v>
      </c>
      <c r="L29" s="18"/>
      <c r="M29" s="79" t="e">
        <f t="shared" si="2"/>
        <v>#DIV/0!</v>
      </c>
      <c r="N29" s="66"/>
      <c r="O29" s="52">
        <f t="shared" si="3"/>
        <v>0</v>
      </c>
      <c r="P29" s="54">
        <f t="shared" si="4"/>
        <v>0</v>
      </c>
      <c r="Q29" s="55">
        <f t="shared" si="5"/>
        <v>0</v>
      </c>
      <c r="R29" s="69"/>
      <c r="S29" s="18"/>
      <c r="T29" s="79">
        <f t="shared" si="6"/>
        <v>0</v>
      </c>
    </row>
    <row r="30" spans="1:20" ht="16" thickBot="1">
      <c r="A30" s="60" t="s">
        <v>75</v>
      </c>
      <c r="B30" s="73">
        <v>20000</v>
      </c>
      <c r="C30" s="74"/>
      <c r="D30" s="75"/>
      <c r="E30" s="16"/>
      <c r="F30" s="57">
        <v>10000</v>
      </c>
      <c r="G30" s="18"/>
      <c r="H30" s="51"/>
      <c r="I30" s="69"/>
      <c r="J30" s="18"/>
      <c r="K30" s="81" t="e">
        <f t="shared" si="1"/>
        <v>#DIV/0!</v>
      </c>
      <c r="L30" s="18"/>
      <c r="M30" s="79" t="e">
        <f t="shared" si="2"/>
        <v>#DIV/0!</v>
      </c>
      <c r="N30" s="66"/>
      <c r="O30" s="52">
        <f t="shared" si="3"/>
        <v>0</v>
      </c>
      <c r="P30" s="54">
        <f t="shared" si="4"/>
        <v>0</v>
      </c>
      <c r="Q30" s="55">
        <f t="shared" si="5"/>
        <v>0</v>
      </c>
      <c r="R30" s="69"/>
      <c r="S30" s="18"/>
      <c r="T30" s="79">
        <f t="shared" si="6"/>
        <v>0</v>
      </c>
    </row>
    <row r="31" spans="1:20" ht="15">
      <c r="A31" s="60" t="s">
        <v>77</v>
      </c>
      <c r="B31" s="73">
        <v>3000</v>
      </c>
      <c r="C31" s="74"/>
      <c r="D31" s="75"/>
      <c r="E31" s="16"/>
      <c r="F31" s="57">
        <v>1500</v>
      </c>
      <c r="G31" s="18">
        <v>0</v>
      </c>
      <c r="H31" s="51"/>
      <c r="I31" s="69"/>
      <c r="J31" s="18"/>
      <c r="K31" s="81" t="e">
        <f t="shared" si="1"/>
        <v>#DIV/0!</v>
      </c>
      <c r="L31" s="18"/>
      <c r="M31" s="79" t="e">
        <f t="shared" si="2"/>
        <v>#DIV/0!</v>
      </c>
      <c r="N31" s="66"/>
      <c r="O31" s="52">
        <f t="shared" si="3"/>
        <v>0</v>
      </c>
      <c r="P31" s="54">
        <f t="shared" si="4"/>
        <v>0</v>
      </c>
      <c r="Q31" s="55">
        <f t="shared" si="5"/>
        <v>0</v>
      </c>
      <c r="R31" s="69"/>
      <c r="S31" s="18"/>
      <c r="T31" s="79">
        <f t="shared" si="6"/>
        <v>0</v>
      </c>
    </row>
    <row r="32" spans="1:20" ht="18">
      <c r="A32" s="61"/>
      <c r="B32" s="57"/>
      <c r="C32" s="18"/>
      <c r="D32" s="51"/>
      <c r="E32" s="16"/>
      <c r="F32" s="57"/>
      <c r="G32" s="18"/>
      <c r="H32" s="51"/>
      <c r="I32" s="69"/>
      <c r="J32" s="18"/>
      <c r="K32" s="63"/>
      <c r="L32" s="18"/>
      <c r="M32" s="18"/>
      <c r="N32" s="66"/>
      <c r="O32" s="58"/>
      <c r="P32" s="18"/>
      <c r="Q32" s="51"/>
      <c r="R32" s="69"/>
      <c r="S32" s="18"/>
      <c r="T32" s="18"/>
    </row>
    <row r="33" spans="1:20" ht="19" thickBot="1">
      <c r="A33" s="61"/>
      <c r="B33" s="57"/>
      <c r="C33" s="18"/>
      <c r="D33" s="51"/>
      <c r="E33" s="16"/>
      <c r="F33" s="57"/>
      <c r="G33" s="18"/>
      <c r="H33" s="51"/>
      <c r="I33" s="69"/>
      <c r="J33" s="18"/>
      <c r="K33" s="63"/>
      <c r="L33" s="18"/>
      <c r="M33" s="18"/>
      <c r="N33" s="66"/>
      <c r="O33" s="58"/>
      <c r="P33" s="18"/>
      <c r="Q33" s="51"/>
      <c r="R33" s="69"/>
      <c r="S33" s="18"/>
      <c r="T33" s="18"/>
    </row>
    <row r="34" spans="1:20" ht="18">
      <c r="A34" s="77" t="s">
        <v>105</v>
      </c>
      <c r="B34" s="78">
        <f>+B25+B27+B28-B29-B30-B31</f>
        <v>197000</v>
      </c>
      <c r="C34" s="78">
        <f t="shared" ref="C34:L34" si="9">+C25+C27+C28-C29-C30-C31</f>
        <v>0</v>
      </c>
      <c r="D34" s="78">
        <f t="shared" si="9"/>
        <v>0</v>
      </c>
      <c r="E34" s="16"/>
      <c r="F34" s="78">
        <f t="shared" si="9"/>
        <v>-41500</v>
      </c>
      <c r="G34" s="78">
        <f t="shared" si="9"/>
        <v>48456.80192771084</v>
      </c>
      <c r="H34" s="78">
        <f t="shared" si="9"/>
        <v>33456.80192771084</v>
      </c>
      <c r="I34" s="69"/>
      <c r="J34" s="137">
        <f t="shared" si="9"/>
        <v>0</v>
      </c>
      <c r="K34" s="81" t="e">
        <f t="shared" ref="K34" si="10">+J34/C34</f>
        <v>#DIV/0!</v>
      </c>
      <c r="L34" s="78">
        <f t="shared" si="9"/>
        <v>0</v>
      </c>
      <c r="M34" s="79" t="e">
        <f t="shared" ref="M34" si="11">+L34/D34</f>
        <v>#DIV/0!</v>
      </c>
      <c r="N34" s="66"/>
      <c r="O34" s="78">
        <f t="shared" ref="O34:S34" si="12">+O25+O27+O28-O29-O30-O31</f>
        <v>33456.80192771084</v>
      </c>
      <c r="P34" s="78">
        <f t="shared" si="12"/>
        <v>0</v>
      </c>
      <c r="Q34" s="78">
        <f t="shared" si="12"/>
        <v>33456.80192771084</v>
      </c>
      <c r="R34" s="69"/>
      <c r="S34" s="78">
        <f t="shared" si="12"/>
        <v>0</v>
      </c>
      <c r="T34" s="79">
        <f t="shared" ref="T34" si="13">+S34/B34</f>
        <v>0</v>
      </c>
    </row>
    <row r="35" spans="1:20" ht="18">
      <c r="A35" s="8" t="s">
        <v>106</v>
      </c>
      <c r="B35" s="80">
        <f>+B34/B23</f>
        <v>0.32833333333333331</v>
      </c>
      <c r="C35" s="80" t="e">
        <f>+C34/C23</f>
        <v>#DIV/0!</v>
      </c>
      <c r="D35" s="80" t="e">
        <f>+D34/D23</f>
        <v>#DIV/0!</v>
      </c>
      <c r="E35" s="18"/>
      <c r="F35" s="80">
        <f>+F34/F23</f>
        <v>-0.20749999999999999</v>
      </c>
      <c r="G35" s="80">
        <f>+G34/G23</f>
        <v>0.37274463021316029</v>
      </c>
      <c r="H35" s="80">
        <f>+H34/H23</f>
        <v>0.10138424826579043</v>
      </c>
      <c r="I35" s="18"/>
      <c r="J35" s="80" t="e">
        <f>+J34/J23</f>
        <v>#DIV/0!</v>
      </c>
      <c r="K35" s="18"/>
      <c r="L35" s="80" t="e">
        <f>+L34/L23</f>
        <v>#DIV/0!</v>
      </c>
      <c r="M35" s="18"/>
      <c r="N35" s="18"/>
      <c r="O35" s="80">
        <f>+O34/O23</f>
        <v>0.10138424826579043</v>
      </c>
      <c r="P35" s="80" t="e">
        <f>+P34/P23</f>
        <v>#DIV/0!</v>
      </c>
      <c r="Q35" s="80">
        <f>+Q34/Q23</f>
        <v>0.10138424826579043</v>
      </c>
      <c r="R35" s="18"/>
      <c r="S35" s="80" t="e">
        <f>+S34/S23</f>
        <v>#DIV/0!</v>
      </c>
      <c r="T35" s="18"/>
    </row>
    <row r="36" spans="1:20" ht="18">
      <c r="A36" s="10"/>
    </row>
    <row r="37" spans="1:20" ht="18">
      <c r="A37" s="10"/>
    </row>
    <row r="38" spans="1:20" ht="18">
      <c r="A38" s="10"/>
    </row>
  </sheetData>
  <mergeCells count="5">
    <mergeCell ref="S20:T20"/>
    <mergeCell ref="B20:D20"/>
    <mergeCell ref="F20:H20"/>
    <mergeCell ref="J20:L20"/>
    <mergeCell ref="O20:Q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Enoncé 1 Coût Personnel et Maté</vt:lpstr>
      <vt:lpstr>Enoncé 2 Résultat Chantier</vt:lpstr>
      <vt:lpstr>Enoncé 3 corrige SP</vt:lpstr>
      <vt:lpstr>Corrigé 1 cout personnel matér </vt:lpstr>
      <vt:lpstr>Corrigé 2 résultat</vt:lpstr>
      <vt:lpstr>Enoncé 3 sp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champa chey</cp:lastModifiedBy>
  <dcterms:created xsi:type="dcterms:W3CDTF">2020-04-27T04:52:37Z</dcterms:created>
  <dcterms:modified xsi:type="dcterms:W3CDTF">2020-05-02T09:51:39Z</dcterms:modified>
</cp:coreProperties>
</file>